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9dx/ORNL Dropbox/Dipti Kamath/Better Plants_DK/Virtual Trainings/TEA and LCA/MakingABusinessCase_2026/"/>
    </mc:Choice>
  </mc:AlternateContent>
  <xr:revisionPtr revIDLastSave="0" documentId="13_ncr:1_{D0D6C1B8-1532-124A-AA8C-3C6954DB0C7A}" xr6:coauthVersionLast="47" xr6:coauthVersionMax="47" xr10:uidLastSave="{00000000-0000-0000-0000-000000000000}"/>
  <bookViews>
    <workbookView xWindow="1200" yWindow="660" windowWidth="29040" windowHeight="18900" activeTab="1" xr2:uid="{3692171B-8DE9-0A4B-8305-1DCA722EA46E}"/>
  </bookViews>
  <sheets>
    <sheet name="Assumption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1" i="1" l="1"/>
  <c r="J3" i="2"/>
  <c r="J2" i="2"/>
  <c r="C8" i="1"/>
  <c r="C9" i="1" s="1"/>
  <c r="C10" i="1" s="1"/>
  <c r="C11" i="1" s="1"/>
  <c r="C12" i="1" s="1"/>
  <c r="C13" i="1" s="1"/>
  <c r="C14" i="1" s="1"/>
  <c r="C15" i="1" s="1"/>
  <c r="C16" i="1" s="1"/>
  <c r="C17" i="1" s="1"/>
  <c r="B2" i="1"/>
  <c r="B1" i="1"/>
  <c r="B16" i="2"/>
  <c r="D17" i="1" s="1"/>
  <c r="A16" i="2"/>
  <c r="B14" i="2"/>
  <c r="B13" i="2"/>
  <c r="B12" i="2"/>
  <c r="B15" i="2" s="1"/>
  <c r="B10" i="2"/>
  <c r="B11" i="2" s="1"/>
  <c r="B7" i="1" s="1"/>
  <c r="E7" i="1"/>
  <c r="I7" i="1"/>
  <c r="J7" i="1"/>
  <c r="F7" i="1" l="1"/>
  <c r="H7" i="1"/>
  <c r="H11" i="1"/>
  <c r="J11" i="1"/>
  <c r="H10" i="1"/>
  <c r="J10" i="1"/>
  <c r="H12" i="1"/>
  <c r="J12" i="1"/>
  <c r="H13" i="1"/>
  <c r="J13" i="1"/>
  <c r="H14" i="1"/>
  <c r="J14" i="1"/>
  <c r="H15" i="1"/>
  <c r="J15" i="1"/>
  <c r="H16" i="1"/>
  <c r="J16" i="1"/>
  <c r="H17" i="1"/>
  <c r="J8" i="1"/>
  <c r="H8" i="1"/>
  <c r="J17" i="1"/>
  <c r="D19" i="1"/>
  <c r="H9" i="1"/>
  <c r="J9" i="1"/>
  <c r="I8" i="1"/>
  <c r="E8" i="1"/>
  <c r="K7" i="1"/>
  <c r="B19" i="1"/>
  <c r="C24" i="1" s="1"/>
  <c r="F8" i="1" l="1"/>
  <c r="G8" i="1" s="1"/>
  <c r="K8" i="1"/>
  <c r="J19" i="1"/>
  <c r="E9" i="1"/>
  <c r="I9" i="1"/>
  <c r="K9" i="1" s="1"/>
  <c r="H19" i="1"/>
  <c r="L7" i="1"/>
  <c r="F9" i="1" l="1"/>
  <c r="G9" i="1" s="1"/>
  <c r="I10" i="1"/>
  <c r="K10" i="1" s="1"/>
  <c r="E10" i="1"/>
  <c r="L8" i="1"/>
  <c r="M8" i="1" s="1"/>
  <c r="F10" i="1" l="1"/>
  <c r="G10" i="1" s="1"/>
  <c r="I11" i="1"/>
  <c r="K11" i="1" s="1"/>
  <c r="E11" i="1"/>
  <c r="L9" i="1"/>
  <c r="M9" i="1" s="1"/>
  <c r="F11" i="1" l="1"/>
  <c r="G11" i="1" s="1"/>
  <c r="I12" i="1"/>
  <c r="K12" i="1" s="1"/>
  <c r="E12" i="1"/>
  <c r="L10" i="1"/>
  <c r="M10" i="1" s="1"/>
  <c r="F12" i="1" l="1"/>
  <c r="G12" i="1" s="1"/>
  <c r="I13" i="1"/>
  <c r="K13" i="1" s="1"/>
  <c r="E13" i="1"/>
  <c r="L11" i="1"/>
  <c r="M11" i="1" s="1"/>
  <c r="F13" i="1" l="1"/>
  <c r="G13" i="1" s="1"/>
  <c r="E14" i="1"/>
  <c r="I14" i="1"/>
  <c r="L12" i="1"/>
  <c r="M12" i="1" s="1"/>
  <c r="F14" i="1" l="1"/>
  <c r="G14" i="1" s="1"/>
  <c r="E15" i="1"/>
  <c r="I15" i="1"/>
  <c r="K14" i="1"/>
  <c r="L13" i="1"/>
  <c r="M13" i="1" s="1"/>
  <c r="F15" i="1" l="1"/>
  <c r="G15" i="1" s="1"/>
  <c r="E16" i="1"/>
  <c r="I16" i="1"/>
  <c r="K15" i="1"/>
  <c r="L14" i="1"/>
  <c r="M14" i="1" s="1"/>
  <c r="F16" i="1" l="1"/>
  <c r="G16" i="1" s="1"/>
  <c r="C19" i="1"/>
  <c r="C21" i="1"/>
  <c r="E17" i="1"/>
  <c r="F17" i="1" s="1"/>
  <c r="G17" i="1" s="1"/>
  <c r="G19" i="1" s="1"/>
  <c r="H1" i="1" s="1"/>
  <c r="I17" i="1"/>
  <c r="K16" i="1"/>
  <c r="L15" i="1"/>
  <c r="M15" i="1" s="1"/>
  <c r="K17" i="1" l="1"/>
  <c r="I19" i="1"/>
  <c r="L16" i="1"/>
  <c r="M16" i="1" s="1"/>
  <c r="L17" i="1" l="1"/>
  <c r="M17" i="1" l="1"/>
  <c r="M19" i="1" s="1"/>
  <c r="H2" i="1" s="1"/>
  <c r="E1" i="1"/>
</calcChain>
</file>

<file path=xl/sharedStrings.xml><?xml version="1.0" encoding="utf-8"?>
<sst xmlns="http://schemas.openxmlformats.org/spreadsheetml/2006/main" count="59" uniqueCount="55">
  <si>
    <t>Year</t>
  </si>
  <si>
    <t>revenue/ outflow</t>
  </si>
  <si>
    <t>Salvage/ scrap/ residual/ outflow</t>
  </si>
  <si>
    <t>Un-discounted</t>
  </si>
  <si>
    <t>Discounted</t>
  </si>
  <si>
    <t>Life</t>
  </si>
  <si>
    <t>years</t>
  </si>
  <si>
    <t>Discount rate</t>
  </si>
  <si>
    <t>Sum</t>
  </si>
  <si>
    <t>Total NPV</t>
  </si>
  <si>
    <t>Total outflow</t>
  </si>
  <si>
    <t>Discounted outflow</t>
  </si>
  <si>
    <t>Discounted inflow</t>
  </si>
  <si>
    <t>Inflow</t>
  </si>
  <si>
    <t>Cumulative flow</t>
  </si>
  <si>
    <t>Cumulative discounted flow</t>
  </si>
  <si>
    <t>simple payback</t>
  </si>
  <si>
    <t>Discounted payback period</t>
  </si>
  <si>
    <t>Simple payback period</t>
  </si>
  <si>
    <t>NPV</t>
  </si>
  <si>
    <t>Simple payback</t>
  </si>
  <si>
    <t>Discounted payback</t>
  </si>
  <si>
    <t>CURRENT ENERGY &amp; PRODUCTION</t>
  </si>
  <si>
    <t>Current natural gas (NG) use</t>
  </si>
  <si>
    <t>Annual production</t>
  </si>
  <si>
    <t>Gas price</t>
  </si>
  <si>
    <t>Electricity prices</t>
  </si>
  <si>
    <t>ANTICIPATED CHANGES WITH PROJECT</t>
  </si>
  <si>
    <t>Expected NG reduction</t>
  </si>
  <si>
    <t>Additional electricity</t>
  </si>
  <si>
    <t>Additional maintenance</t>
  </si>
  <si>
    <t>PROJECT FINANCIALS</t>
  </si>
  <si>
    <t>Equipment</t>
  </si>
  <si>
    <t>Installation</t>
  </si>
  <si>
    <t>Engineering and commissioning</t>
  </si>
  <si>
    <t>Contingency</t>
  </si>
  <si>
    <t>Utility incentive</t>
  </si>
  <si>
    <t>Project life</t>
  </si>
  <si>
    <t>Residual value in year 10</t>
  </si>
  <si>
    <t>MMBtu/year</t>
  </si>
  <si>
    <t>units</t>
  </si>
  <si>
    <t>$/MMBTu</t>
  </si>
  <si>
    <t>$/MWh</t>
  </si>
  <si>
    <t>MWH/year</t>
  </si>
  <si>
    <t>$/year</t>
  </si>
  <si>
    <t>year</t>
  </si>
  <si>
    <t>Investment</t>
  </si>
  <si>
    <t>Net investment</t>
  </si>
  <si>
    <t>Annual NG reduction savings</t>
  </si>
  <si>
    <t>Annual electricity cost increase</t>
  </si>
  <si>
    <t>Net savings annual</t>
  </si>
  <si>
    <t>IRR</t>
  </si>
  <si>
    <t>total capital</t>
  </si>
  <si>
    <t>net capital</t>
  </si>
  <si>
    <t>ROI (simple)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</si>
</sst>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"/>
    <numFmt numFmtId="165" formatCode="&quot;$&quot;#,##0"/>
  </numFmts>
  <fonts count="7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FFFF"/>
      <name val="Arial"/>
      <family val="2"/>
    </font>
    <font>
      <b/>
      <sz val="12"/>
      <color rgb="FFFFFFFF"/>
      <name val="Nimbus Sans"/>
    </font>
    <font>
      <sz val="12"/>
      <color rgb="FF1D428A"/>
      <name val="Arial"/>
      <family val="2"/>
    </font>
    <font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319B3C"/>
        <bgColor indexed="64"/>
      </patternFill>
    </fill>
    <fill>
      <patternFill patternType="solid">
        <fgColor rgb="FFCDDECE"/>
        <bgColor indexed="64"/>
      </patternFill>
    </fill>
    <fill>
      <patternFill patternType="solid">
        <fgColor rgb="FFE8EFE8"/>
        <bgColor indexed="64"/>
      </patternFill>
    </fill>
    <fill>
      <patternFill patternType="solid">
        <fgColor rgb="FFA3AAAF"/>
        <bgColor indexed="64"/>
      </patternFill>
    </fill>
    <fill>
      <patternFill patternType="solid">
        <fgColor rgb="FFE0E2E3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rgb="FF1D428A"/>
        <bgColor indexed="64"/>
      </patternFill>
    </fill>
    <fill>
      <patternFill patternType="solid">
        <fgColor rgb="FFCCCFDA"/>
        <bgColor indexed="64"/>
      </patternFill>
    </fill>
    <fill>
      <patternFill patternType="solid">
        <fgColor rgb="FFE7E9ED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9" fontId="0" fillId="0" borderId="0" xfId="0" applyNumberFormat="1"/>
    <xf numFmtId="2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2" fontId="2" fillId="3" borderId="1" xfId="0" applyNumberFormat="1" applyFont="1" applyFill="1" applyBorder="1"/>
    <xf numFmtId="164" fontId="2" fillId="3" borderId="1" xfId="0" applyNumberFormat="1" applyFont="1" applyFill="1" applyBorder="1"/>
    <xf numFmtId="3" fontId="2" fillId="2" borderId="1" xfId="0" applyNumberFormat="1" applyFont="1" applyFill="1" applyBorder="1"/>
    <xf numFmtId="3" fontId="2" fillId="0" borderId="1" xfId="0" applyNumberFormat="1" applyFont="1" applyBorder="1"/>
    <xf numFmtId="0" fontId="2" fillId="0" borderId="2" xfId="0" applyFont="1" applyBorder="1"/>
    <xf numFmtId="3" fontId="0" fillId="0" borderId="2" xfId="0" applyNumberFormat="1" applyBorder="1"/>
    <xf numFmtId="0" fontId="2" fillId="0" borderId="1" xfId="0" applyFont="1" applyBorder="1" applyAlignment="1">
      <alignment wrapText="1"/>
    </xf>
    <xf numFmtId="4" fontId="0" fillId="0" borderId="1" xfId="0" applyNumberFormat="1" applyBorder="1"/>
    <xf numFmtId="4" fontId="2" fillId="0" borderId="0" xfId="0" applyNumberFormat="1" applyFont="1"/>
    <xf numFmtId="0" fontId="5" fillId="5" borderId="5" xfId="0" applyFont="1" applyFill="1" applyBorder="1" applyAlignment="1">
      <alignment horizontal="left" vertical="center" wrapText="1" readingOrder="1"/>
    </xf>
    <xf numFmtId="0" fontId="5" fillId="8" borderId="5" xfId="0" applyFont="1" applyFill="1" applyBorder="1" applyAlignment="1">
      <alignment horizontal="left" vertical="center" wrapText="1" readingOrder="1"/>
    </xf>
    <xf numFmtId="9" fontId="5" fillId="8" borderId="5" xfId="0" applyNumberFormat="1" applyFont="1" applyFill="1" applyBorder="1" applyAlignment="1">
      <alignment horizontal="left" vertical="center" wrapText="1" readingOrder="1"/>
    </xf>
    <xf numFmtId="0" fontId="5" fillId="11" borderId="5" xfId="0" applyFont="1" applyFill="1" applyBorder="1" applyAlignment="1">
      <alignment horizontal="left" vertical="center" wrapText="1" readingOrder="1"/>
    </xf>
    <xf numFmtId="0" fontId="5" fillId="6" borderId="6" xfId="0" applyFont="1" applyFill="1" applyBorder="1" applyAlignment="1">
      <alignment horizontal="left" vertical="center" wrapText="1" readingOrder="1"/>
    </xf>
    <xf numFmtId="0" fontId="5" fillId="9" borderId="6" xfId="0" applyFont="1" applyFill="1" applyBorder="1" applyAlignment="1">
      <alignment horizontal="left" vertical="center" wrapText="1" readingOrder="1"/>
    </xf>
    <xf numFmtId="0" fontId="5" fillId="12" borderId="6" xfId="0" applyFont="1" applyFill="1" applyBorder="1" applyAlignment="1">
      <alignment horizontal="left" vertical="center" wrapText="1" readingOrder="1"/>
    </xf>
    <xf numFmtId="0" fontId="5" fillId="5" borderId="6" xfId="0" applyFont="1" applyFill="1" applyBorder="1" applyAlignment="1">
      <alignment horizontal="left" vertical="center" wrapText="1" readingOrder="1"/>
    </xf>
    <xf numFmtId="0" fontId="5" fillId="8" borderId="6" xfId="0" applyFont="1" applyFill="1" applyBorder="1" applyAlignment="1">
      <alignment horizontal="left" vertical="center" wrapText="1" readingOrder="1"/>
    </xf>
    <xf numFmtId="0" fontId="5" fillId="11" borderId="6" xfId="0" applyFont="1" applyFill="1" applyBorder="1" applyAlignment="1">
      <alignment horizontal="left" vertical="center" wrapText="1" readingOrder="1"/>
    </xf>
    <xf numFmtId="6" fontId="6" fillId="11" borderId="5" xfId="0" applyNumberFormat="1" applyFont="1" applyFill="1" applyBorder="1" applyAlignment="1">
      <alignment vertical="center" wrapText="1"/>
    </xf>
    <xf numFmtId="6" fontId="6" fillId="12" borderId="6" xfId="0" applyNumberFormat="1" applyFont="1" applyFill="1" applyBorder="1" applyAlignment="1">
      <alignment vertical="center" wrapText="1"/>
    </xf>
    <xf numFmtId="6" fontId="6" fillId="11" borderId="6" xfId="0" applyNumberFormat="1" applyFont="1" applyFill="1" applyBorder="1" applyAlignment="1">
      <alignment vertical="center" wrapText="1"/>
    </xf>
    <xf numFmtId="0" fontId="6" fillId="12" borderId="6" xfId="0" applyFont="1" applyFill="1" applyBorder="1" applyAlignment="1">
      <alignment vertical="center" wrapText="1"/>
    </xf>
    <xf numFmtId="9" fontId="6" fillId="11" borderId="6" xfId="0" applyNumberFormat="1" applyFont="1" applyFill="1" applyBorder="1" applyAlignment="1">
      <alignment vertical="center" wrapText="1"/>
    </xf>
    <xf numFmtId="3" fontId="5" fillId="5" borderId="5" xfId="0" applyNumberFormat="1" applyFont="1" applyFill="1" applyBorder="1" applyAlignment="1">
      <alignment horizontal="left" vertical="center" wrapText="1" readingOrder="1"/>
    </xf>
    <xf numFmtId="3" fontId="5" fillId="6" borderId="6" xfId="0" applyNumberFormat="1" applyFont="1" applyFill="1" applyBorder="1" applyAlignment="1">
      <alignment horizontal="left" vertical="center" wrapText="1" readingOrder="1"/>
    </xf>
    <xf numFmtId="3" fontId="5" fillId="8" borderId="6" xfId="0" applyNumberFormat="1" applyFont="1" applyFill="1" applyBorder="1" applyAlignment="1">
      <alignment horizontal="left" vertical="center" wrapText="1" readingOrder="1"/>
    </xf>
    <xf numFmtId="165" fontId="5" fillId="6" borderId="6" xfId="1" applyNumberFormat="1" applyFont="1" applyFill="1" applyBorder="1" applyAlignment="1">
      <alignment horizontal="left" vertical="center" wrapText="1" readingOrder="1"/>
    </xf>
    <xf numFmtId="165" fontId="5" fillId="5" borderId="6" xfId="0" applyNumberFormat="1" applyFont="1" applyFill="1" applyBorder="1" applyAlignment="1">
      <alignment horizontal="left" vertical="center" wrapText="1" readingOrder="1"/>
    </xf>
    <xf numFmtId="10" fontId="2" fillId="0" borderId="0" xfId="0" applyNumberFormat="1" applyFont="1"/>
    <xf numFmtId="6" fontId="0" fillId="0" borderId="0" xfId="0" applyNumberFormat="1"/>
    <xf numFmtId="0" fontId="2" fillId="0" borderId="1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0" fontId="3" fillId="7" borderId="3" xfId="0" applyFont="1" applyFill="1" applyBorder="1" applyAlignment="1">
      <alignment horizontal="center" vertical="center" wrapText="1" readingOrder="1"/>
    </xf>
    <xf numFmtId="0" fontId="3" fillId="7" borderId="4" xfId="0" applyFont="1" applyFill="1" applyBorder="1" applyAlignment="1">
      <alignment horizontal="center" vertical="center" wrapText="1" readingOrder="1"/>
    </xf>
    <xf numFmtId="0" fontId="4" fillId="10" borderId="3" xfId="0" applyFont="1" applyFill="1" applyBorder="1" applyAlignment="1">
      <alignment horizontal="center" vertical="center" wrapText="1" readingOrder="1"/>
    </xf>
    <xf numFmtId="0" fontId="4" fillId="10" borderId="4" xfId="0" applyFont="1" applyFill="1" applyBorder="1" applyAlignment="1">
      <alignment horizontal="center" vertical="center" wrapText="1" readingOrder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Sheet1!$A$6</c:f>
              <c:strCache>
                <c:ptCount val="1"/>
                <c:pt idx="0">
                  <c:v>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F8-714C-842B-1B31C27A030B}"/>
            </c:ext>
          </c:extLst>
        </c:ser>
        <c:ser>
          <c:idx val="1"/>
          <c:order val="1"/>
          <c:tx>
            <c:strRef>
              <c:f>Sheet1!$B$6</c:f>
              <c:strCache>
                <c:ptCount val="1"/>
                <c:pt idx="0">
                  <c:v>Inflow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Sheet1!$B$7:$B$17</c:f>
              <c:numCache>
                <c:formatCode>General</c:formatCode>
                <c:ptCount val="11"/>
                <c:pt idx="0" formatCode="#,##0">
                  <c:v>-450000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8-714C-842B-1B31C27A030B}"/>
            </c:ext>
          </c:extLst>
        </c:ser>
        <c:ser>
          <c:idx val="2"/>
          <c:order val="2"/>
          <c:tx>
            <c:strRef>
              <c:f>Sheet1!$E$6</c:f>
              <c:strCache>
                <c:ptCount val="1"/>
                <c:pt idx="0">
                  <c:v>Total outflow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Sheet1!$E$7:$E$17</c:f>
              <c:numCache>
                <c:formatCode>General</c:formatCode>
                <c:ptCount val="11"/>
                <c:pt idx="0">
                  <c:v>0</c:v>
                </c:pt>
                <c:pt idx="1">
                  <c:v>76000</c:v>
                </c:pt>
                <c:pt idx="2">
                  <c:v>76000</c:v>
                </c:pt>
                <c:pt idx="3">
                  <c:v>76000</c:v>
                </c:pt>
                <c:pt idx="4">
                  <c:v>76000</c:v>
                </c:pt>
                <c:pt idx="5">
                  <c:v>76000</c:v>
                </c:pt>
                <c:pt idx="6">
                  <c:v>76000</c:v>
                </c:pt>
                <c:pt idx="7">
                  <c:v>76000</c:v>
                </c:pt>
                <c:pt idx="8">
                  <c:v>76000</c:v>
                </c:pt>
                <c:pt idx="9">
                  <c:v>76000</c:v>
                </c:pt>
                <c:pt idx="10">
                  <c:v>96000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F8-714C-842B-1B31C27A030B}"/>
            </c:ext>
          </c:extLst>
        </c:ser>
        <c:ser>
          <c:idx val="4"/>
          <c:order val="3"/>
          <c:tx>
            <c:strRef>
              <c:f>Sheet1!$H$6</c:f>
              <c:strCache>
                <c:ptCount val="1"/>
                <c:pt idx="0">
                  <c:v>Discounted inflow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Sheet1!$H$7:$H$17</c:f>
              <c:numCache>
                <c:formatCode>General</c:formatCode>
                <c:ptCount val="11"/>
                <c:pt idx="0" formatCode="#,##0">
                  <c:v>-450000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F8-714C-842B-1B31C27A030B}"/>
            </c:ext>
          </c:extLst>
        </c:ser>
        <c:ser>
          <c:idx val="5"/>
          <c:order val="4"/>
          <c:tx>
            <c:strRef>
              <c:f>Sheet1!$K$6</c:f>
              <c:strCache>
                <c:ptCount val="1"/>
                <c:pt idx="0">
                  <c:v>Discounted outflow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Sheet1!$K$7:$K$17</c:f>
              <c:numCache>
                <c:formatCode>General</c:formatCode>
                <c:ptCount val="11"/>
                <c:pt idx="0">
                  <c:v>0</c:v>
                </c:pt>
                <c:pt idx="1">
                  <c:v>70370.370370370365</c:v>
                </c:pt>
                <c:pt idx="2">
                  <c:v>65157.75034293552</c:v>
                </c:pt>
                <c:pt idx="3">
                  <c:v>60331.250317532889</c:v>
                </c:pt>
                <c:pt idx="4">
                  <c:v>55862.268812530448</c:v>
                </c:pt>
                <c:pt idx="5">
                  <c:v>51724.322974565228</c:v>
                </c:pt>
                <c:pt idx="6">
                  <c:v>47892.891643115945</c:v>
                </c:pt>
                <c:pt idx="7">
                  <c:v>44345.270039922172</c:v>
                </c:pt>
                <c:pt idx="8">
                  <c:v>41060.435222150161</c:v>
                </c:pt>
                <c:pt idx="9">
                  <c:v>38018.921501990888</c:v>
                </c:pt>
                <c:pt idx="10">
                  <c:v>44466.574856129686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8-714C-842B-1B31C27A0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overlap val="50"/>
        <c:axId val="928051455"/>
        <c:axId val="928054143"/>
      </c:barChart>
      <c:catAx>
        <c:axId val="928051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8054143"/>
        <c:crosses val="autoZero"/>
        <c:auto val="1"/>
        <c:lblAlgn val="ctr"/>
        <c:lblOffset val="100"/>
        <c:noMultiLvlLbl val="0"/>
      </c:catAx>
      <c:valAx>
        <c:axId val="92805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8051455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Sheet1!$F$6</c:f>
              <c:strCache>
                <c:ptCount val="1"/>
                <c:pt idx="0">
                  <c:v>Cumulative flow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Sheet1!$F$7:$F$17</c:f>
              <c:numCache>
                <c:formatCode>#,##0</c:formatCode>
                <c:ptCount val="11"/>
                <c:pt idx="0">
                  <c:v>-450000</c:v>
                </c:pt>
                <c:pt idx="1">
                  <c:v>-374000</c:v>
                </c:pt>
                <c:pt idx="2">
                  <c:v>-298000</c:v>
                </c:pt>
                <c:pt idx="3">
                  <c:v>-222000</c:v>
                </c:pt>
                <c:pt idx="4">
                  <c:v>-146000</c:v>
                </c:pt>
                <c:pt idx="5">
                  <c:v>-70000</c:v>
                </c:pt>
                <c:pt idx="6">
                  <c:v>6000</c:v>
                </c:pt>
                <c:pt idx="7">
                  <c:v>82000</c:v>
                </c:pt>
                <c:pt idx="8">
                  <c:v>158000</c:v>
                </c:pt>
                <c:pt idx="9">
                  <c:v>234000</c:v>
                </c:pt>
                <c:pt idx="10">
                  <c:v>330000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38-654A-8079-A3C4AD1563CC}"/>
            </c:ext>
          </c:extLst>
        </c:ser>
        <c:ser>
          <c:idx val="2"/>
          <c:order val="1"/>
          <c:tx>
            <c:strRef>
              <c:f>Sheet1!$L$6</c:f>
              <c:strCache>
                <c:ptCount val="1"/>
                <c:pt idx="0">
                  <c:v>Cumulative discounted flow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Sheet1!$A$7:$A$17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Sheet1!$L$7:$L$17</c:f>
              <c:numCache>
                <c:formatCode>#,##0</c:formatCode>
                <c:ptCount val="11"/>
                <c:pt idx="0">
                  <c:v>-450000</c:v>
                </c:pt>
                <c:pt idx="1">
                  <c:v>-379629.62962962966</c:v>
                </c:pt>
                <c:pt idx="2">
                  <c:v>-314471.87928669417</c:v>
                </c:pt>
                <c:pt idx="3">
                  <c:v>-254140.62896916128</c:v>
                </c:pt>
                <c:pt idx="4">
                  <c:v>-198278.36015663084</c:v>
                </c:pt>
                <c:pt idx="5">
                  <c:v>-146554.0371820656</c:v>
                </c:pt>
                <c:pt idx="6">
                  <c:v>-98661.145538949655</c:v>
                </c:pt>
                <c:pt idx="7">
                  <c:v>-54315.875499027483</c:v>
                </c:pt>
                <c:pt idx="8">
                  <c:v>-13255.440276877322</c:v>
                </c:pt>
                <c:pt idx="9">
                  <c:v>24763.481225113566</c:v>
                </c:pt>
                <c:pt idx="10">
                  <c:v>69230.056081243252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38-654A-8079-A3C4AD156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8597887"/>
        <c:axId val="888601919"/>
      </c:lineChart>
      <c:catAx>
        <c:axId val="888597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8601919"/>
        <c:crosses val="autoZero"/>
        <c:auto val="1"/>
        <c:lblAlgn val="ctr"/>
        <c:lblOffset val="100"/>
        <c:noMultiLvlLbl val="0"/>
      </c:catAx>
      <c:valAx>
        <c:axId val="888601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8597887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25</xdr:row>
      <xdr:rowOff>88900</xdr:rowOff>
    </xdr:from>
    <xdr:to>
      <xdr:col>8</xdr:col>
      <xdr:colOff>787400</xdr:colOff>
      <xdr:row>42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9328D5-9E3B-F940-EFE4-9FEEF839F6E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812800</xdr:colOff>
      <xdr:row>25</xdr:row>
      <xdr:rowOff>82550</xdr:rowOff>
    </xdr:from>
    <xdr:to>
      <xdr:col>17</xdr:col>
      <xdr:colOff>266700</xdr:colOff>
      <xdr:row>42</xdr:row>
      <xdr:rowOff>139700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3695328-3FE5-4799-BAFD-FEA1D2A67C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26A1-61FB-F64E-A8C3-6B06834E7207}">
  <dimension ref="A1:J16"/>
  <sheetViews>
    <sheetView zoomScale="150" zoomScaleNormal="150" workbookViewId="0">
      <selection activeCell="A5" sqref="A5"/>
    </sheetView>
  </sheetViews>
  <sheetFormatPr baseColWidth="10" defaultRowHeight="16"/>
  <cols>
    <col min="1" max="8" width="19.6640625" customWidth="1"/>
  </cols>
  <sheetData>
    <row r="1" spans="1:10" ht="17" thickBot="1">
      <c r="A1" s="41" t="s">
        <v>22</v>
      </c>
      <c r="B1" s="42"/>
      <c r="D1" s="43" t="s">
        <v>27</v>
      </c>
      <c r="E1" s="44"/>
      <c r="G1" s="45" t="s">
        <v>31</v>
      </c>
      <c r="H1" s="46"/>
    </row>
    <row r="2" spans="1:10" ht="36" thickTop="1" thickBot="1">
      <c r="A2" s="18" t="s">
        <v>23</v>
      </c>
      <c r="B2" s="33">
        <v>80000</v>
      </c>
      <c r="C2" t="s">
        <v>39</v>
      </c>
      <c r="D2" s="19" t="s">
        <v>28</v>
      </c>
      <c r="E2" s="20">
        <v>0.2</v>
      </c>
      <c r="G2" s="21" t="s">
        <v>32</v>
      </c>
      <c r="H2" s="28">
        <v>280000</v>
      </c>
      <c r="I2" t="s">
        <v>52</v>
      </c>
      <c r="J2" s="39">
        <f>H2+H3+H4+H5</f>
        <v>500000</v>
      </c>
    </row>
    <row r="3" spans="1:10" ht="18" thickBot="1">
      <c r="A3" s="22" t="s">
        <v>24</v>
      </c>
      <c r="B3" s="34">
        <v>100000</v>
      </c>
      <c r="C3" t="s">
        <v>40</v>
      </c>
      <c r="D3" s="23" t="s">
        <v>29</v>
      </c>
      <c r="E3" s="23">
        <v>100</v>
      </c>
      <c r="F3" t="s">
        <v>43</v>
      </c>
      <c r="G3" s="24" t="s">
        <v>33</v>
      </c>
      <c r="H3" s="29">
        <v>140000</v>
      </c>
      <c r="I3" t="s">
        <v>53</v>
      </c>
      <c r="J3" s="39">
        <f>J2-H6</f>
        <v>450000</v>
      </c>
    </row>
    <row r="4" spans="1:10" ht="35" thickBot="1">
      <c r="A4" s="25" t="s">
        <v>25</v>
      </c>
      <c r="B4" s="25">
        <v>6</v>
      </c>
      <c r="C4" t="s">
        <v>41</v>
      </c>
      <c r="D4" s="26" t="s">
        <v>30</v>
      </c>
      <c r="E4" s="35">
        <v>12000</v>
      </c>
      <c r="F4" t="s">
        <v>44</v>
      </c>
      <c r="G4" s="27" t="s">
        <v>34</v>
      </c>
      <c r="H4" s="30">
        <v>40000</v>
      </c>
    </row>
    <row r="5" spans="1:10" ht="18" thickBot="1">
      <c r="A5" s="22" t="s">
        <v>26</v>
      </c>
      <c r="B5" s="22">
        <v>80</v>
      </c>
      <c r="C5" t="s">
        <v>42</v>
      </c>
      <c r="G5" s="24" t="s">
        <v>35</v>
      </c>
      <c r="H5" s="29">
        <v>40000</v>
      </c>
    </row>
    <row r="6" spans="1:10" ht="18" thickBot="1">
      <c r="G6" s="27" t="s">
        <v>36</v>
      </c>
      <c r="H6" s="30">
        <v>50000</v>
      </c>
    </row>
    <row r="7" spans="1:10" ht="18" thickBot="1">
      <c r="G7" s="24" t="s">
        <v>37</v>
      </c>
      <c r="H7" s="31">
        <v>10</v>
      </c>
      <c r="I7" t="s">
        <v>45</v>
      </c>
    </row>
    <row r="8" spans="1:10" ht="18" thickBot="1">
      <c r="G8" s="27" t="s">
        <v>7</v>
      </c>
      <c r="H8" s="32">
        <v>0.08</v>
      </c>
    </row>
    <row r="9" spans="1:10" ht="35" thickBot="1">
      <c r="G9" s="24" t="s">
        <v>38</v>
      </c>
      <c r="H9" s="29">
        <v>20000</v>
      </c>
    </row>
    <row r="10" spans="1:10" ht="18" thickBot="1">
      <c r="A10" s="25" t="s">
        <v>46</v>
      </c>
      <c r="B10" s="37">
        <f>SUM(H2:H5)</f>
        <v>500000</v>
      </c>
    </row>
    <row r="11" spans="1:10" ht="18" thickBot="1">
      <c r="A11" s="22" t="s">
        <v>47</v>
      </c>
      <c r="B11" s="36">
        <f>B10-H6</f>
        <v>450000</v>
      </c>
    </row>
    <row r="12" spans="1:10" ht="35" thickBot="1">
      <c r="A12" s="25" t="s">
        <v>48</v>
      </c>
      <c r="B12" s="37">
        <f>(B2*E2)*B4</f>
        <v>96000</v>
      </c>
    </row>
    <row r="13" spans="1:10" ht="35" thickBot="1">
      <c r="A13" s="22" t="s">
        <v>49</v>
      </c>
      <c r="B13" s="36">
        <f>E3*B5</f>
        <v>8000</v>
      </c>
    </row>
    <row r="14" spans="1:10" ht="35" customHeight="1" thickBot="1">
      <c r="A14" s="25" t="s">
        <v>30</v>
      </c>
      <c r="B14" s="37">
        <f>E4</f>
        <v>12000</v>
      </c>
    </row>
    <row r="15" spans="1:10" ht="18" thickBot="1">
      <c r="A15" s="22" t="s">
        <v>50</v>
      </c>
      <c r="B15" s="36">
        <f>B12-B13-B14</f>
        <v>76000</v>
      </c>
    </row>
    <row r="16" spans="1:10" ht="35" thickBot="1">
      <c r="A16" s="25" t="str">
        <f>G9</f>
        <v>Residual value in year 10</v>
      </c>
      <c r="B16" s="37">
        <f>H9</f>
        <v>20000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B9E81-5BE5-5D4D-AD20-AADAA1ED5672}">
  <dimension ref="A1:M24"/>
  <sheetViews>
    <sheetView tabSelected="1" topLeftCell="A5" zoomScaleNormal="100" workbookViewId="0">
      <selection activeCell="O23" sqref="O23"/>
    </sheetView>
  </sheetViews>
  <sheetFormatPr baseColWidth="10" defaultRowHeight="16"/>
  <cols>
    <col min="2" max="2" width="14.1640625" customWidth="1"/>
  </cols>
  <sheetData>
    <row r="1" spans="1:13">
      <c r="A1" t="s">
        <v>5</v>
      </c>
      <c r="B1">
        <f>Assumptions!H7</f>
        <v>10</v>
      </c>
      <c r="C1" t="s">
        <v>6</v>
      </c>
      <c r="D1" s="3" t="s">
        <v>19</v>
      </c>
      <c r="E1" s="4">
        <f>L17</f>
        <v>69230.056081243252</v>
      </c>
      <c r="G1" s="3" t="s">
        <v>20</v>
      </c>
      <c r="H1" s="17">
        <f>G19</f>
        <v>5.9210526315789469</v>
      </c>
    </row>
    <row r="2" spans="1:13">
      <c r="A2" t="s">
        <v>7</v>
      </c>
      <c r="B2" s="1">
        <f>Assumptions!H8</f>
        <v>0.08</v>
      </c>
      <c r="G2" s="3" t="s">
        <v>21</v>
      </c>
      <c r="H2" s="17">
        <f>M19</f>
        <v>8.3486537690497933</v>
      </c>
    </row>
    <row r="5" spans="1:13">
      <c r="A5" s="5"/>
      <c r="B5" s="40" t="s">
        <v>3</v>
      </c>
      <c r="C5" s="40"/>
      <c r="D5" s="40"/>
      <c r="E5" s="40"/>
      <c r="F5" s="6"/>
      <c r="G5" s="6"/>
      <c r="H5" s="40" t="s">
        <v>4</v>
      </c>
      <c r="I5" s="40"/>
      <c r="J5" s="40"/>
      <c r="K5" s="40"/>
      <c r="L5" s="5"/>
      <c r="M5" s="5"/>
    </row>
    <row r="6" spans="1:13" ht="68">
      <c r="A6" s="15" t="s">
        <v>0</v>
      </c>
      <c r="B6" s="15" t="s">
        <v>13</v>
      </c>
      <c r="C6" s="15" t="s">
        <v>1</v>
      </c>
      <c r="D6" s="15" t="s">
        <v>2</v>
      </c>
      <c r="E6" s="15" t="s">
        <v>10</v>
      </c>
      <c r="F6" s="15" t="s">
        <v>14</v>
      </c>
      <c r="G6" s="15" t="s">
        <v>18</v>
      </c>
      <c r="H6" s="15" t="s">
        <v>12</v>
      </c>
      <c r="I6" s="15" t="s">
        <v>1</v>
      </c>
      <c r="J6" s="15" t="s">
        <v>2</v>
      </c>
      <c r="K6" s="15" t="s">
        <v>11</v>
      </c>
      <c r="L6" s="15" t="s">
        <v>15</v>
      </c>
      <c r="M6" s="15" t="s">
        <v>17</v>
      </c>
    </row>
    <row r="7" spans="1:13">
      <c r="A7" s="7">
        <v>0</v>
      </c>
      <c r="B7" s="8">
        <f>-Assumptions!B11</f>
        <v>-450000</v>
      </c>
      <c r="C7" s="7"/>
      <c r="D7" s="7"/>
      <c r="E7" s="7">
        <f>C7+D7</f>
        <v>0</v>
      </c>
      <c r="F7" s="8">
        <f>SUM(B7:E7)</f>
        <v>-450000</v>
      </c>
      <c r="G7" s="8"/>
      <c r="H7" s="8">
        <f>B7</f>
        <v>-450000</v>
      </c>
      <c r="I7" s="8">
        <f t="shared" ref="I7:J7" si="0">C7</f>
        <v>0</v>
      </c>
      <c r="J7" s="8">
        <f t="shared" si="0"/>
        <v>0</v>
      </c>
      <c r="K7" s="7">
        <f>I7+J7</f>
        <v>0</v>
      </c>
      <c r="L7" s="8">
        <f>SUM(H7:K7)</f>
        <v>-450000</v>
      </c>
      <c r="M7" s="7"/>
    </row>
    <row r="8" spans="1:13">
      <c r="A8" s="7">
        <v>1</v>
      </c>
      <c r="B8" s="7"/>
      <c r="C8" s="8">
        <f>Assumptions!B15</f>
        <v>76000</v>
      </c>
      <c r="D8" s="7"/>
      <c r="E8" s="7">
        <f t="shared" ref="E8:E17" si="1">C8+D8</f>
        <v>76000</v>
      </c>
      <c r="F8" s="8">
        <f>F7+E8</f>
        <v>-374000</v>
      </c>
      <c r="G8" s="7" t="str">
        <f t="shared" ref="G8:G17" si="2">IF(AND(F7&lt;0,F8&gt;0),A7+(-F7/E8),"")</f>
        <v/>
      </c>
      <c r="H8" s="7">
        <f>B8*1/POWER((1+$B$2),$A8)</f>
        <v>0</v>
      </c>
      <c r="I8" s="7">
        <f>C8*1/POWER((1+$B$2),$A8)</f>
        <v>70370.370370370365</v>
      </c>
      <c r="J8" s="7">
        <f>D8*1/POWER((1+$B$2),$A8)</f>
        <v>0</v>
      </c>
      <c r="K8" s="7">
        <f t="shared" ref="K8:K17" si="3">I8+J8</f>
        <v>70370.370370370365</v>
      </c>
      <c r="L8" s="8">
        <f>L7+K8</f>
        <v>-379629.62962962966</v>
      </c>
      <c r="M8" s="7" t="str">
        <f t="shared" ref="M8:M17" si="4">IF(AND(L7&lt;0,L8&gt;0),A7+(-L7/K8),"")</f>
        <v/>
      </c>
    </row>
    <row r="9" spans="1:13">
      <c r="A9" s="7">
        <v>2</v>
      </c>
      <c r="B9" s="7"/>
      <c r="C9" s="8">
        <f>C8</f>
        <v>76000</v>
      </c>
      <c r="D9" s="7"/>
      <c r="E9" s="7">
        <f t="shared" si="1"/>
        <v>76000</v>
      </c>
      <c r="F9" s="8">
        <f t="shared" ref="F9:F17" si="5">F8+E9</f>
        <v>-298000</v>
      </c>
      <c r="G9" s="7" t="str">
        <f t="shared" si="2"/>
        <v/>
      </c>
      <c r="H9" s="7">
        <f t="shared" ref="H9:H17" si="6">B9*1/POWER((1+$B$2),$A9)</f>
        <v>0</v>
      </c>
      <c r="I9" s="7">
        <f t="shared" ref="I9:I17" si="7">C9*1/POWER((1+$B$2),$A9)</f>
        <v>65157.75034293552</v>
      </c>
      <c r="J9" s="7">
        <f t="shared" ref="J9:J17" si="8">D9*1/POWER((1+$B$2),$A9)</f>
        <v>0</v>
      </c>
      <c r="K9" s="7">
        <f t="shared" si="3"/>
        <v>65157.75034293552</v>
      </c>
      <c r="L9" s="8">
        <f t="shared" ref="L9:L17" si="9">L8+K9</f>
        <v>-314471.87928669417</v>
      </c>
      <c r="M9" s="7" t="str">
        <f t="shared" si="4"/>
        <v/>
      </c>
    </row>
    <row r="10" spans="1:13">
      <c r="A10" s="7">
        <v>3</v>
      </c>
      <c r="B10" s="7"/>
      <c r="C10" s="8">
        <f t="shared" ref="C10:C17" si="10">C9</f>
        <v>76000</v>
      </c>
      <c r="D10" s="7"/>
      <c r="E10" s="7">
        <f t="shared" si="1"/>
        <v>76000</v>
      </c>
      <c r="F10" s="8">
        <f t="shared" si="5"/>
        <v>-222000</v>
      </c>
      <c r="G10" s="7" t="str">
        <f t="shared" si="2"/>
        <v/>
      </c>
      <c r="H10" s="7">
        <f t="shared" si="6"/>
        <v>0</v>
      </c>
      <c r="I10" s="7">
        <f t="shared" si="7"/>
        <v>60331.250317532889</v>
      </c>
      <c r="J10" s="7">
        <f t="shared" si="8"/>
        <v>0</v>
      </c>
      <c r="K10" s="7">
        <f t="shared" si="3"/>
        <v>60331.250317532889</v>
      </c>
      <c r="L10" s="8">
        <f t="shared" si="9"/>
        <v>-254140.62896916128</v>
      </c>
      <c r="M10" s="7" t="str">
        <f t="shared" si="4"/>
        <v/>
      </c>
    </row>
    <row r="11" spans="1:13">
      <c r="A11" s="7">
        <v>4</v>
      </c>
      <c r="B11" s="7"/>
      <c r="C11" s="8">
        <f t="shared" si="10"/>
        <v>76000</v>
      </c>
      <c r="D11" s="7"/>
      <c r="E11" s="7">
        <f t="shared" si="1"/>
        <v>76000</v>
      </c>
      <c r="F11" s="8">
        <f t="shared" si="5"/>
        <v>-146000</v>
      </c>
      <c r="G11" s="7" t="str">
        <f t="shared" si="2"/>
        <v/>
      </c>
      <c r="H11" s="7">
        <f t="shared" si="6"/>
        <v>0</v>
      </c>
      <c r="I11" s="7">
        <f t="shared" si="7"/>
        <v>55862.268812530448</v>
      </c>
      <c r="J11" s="7">
        <f t="shared" si="8"/>
        <v>0</v>
      </c>
      <c r="K11" s="7">
        <f t="shared" si="3"/>
        <v>55862.268812530448</v>
      </c>
      <c r="L11" s="8">
        <f t="shared" si="9"/>
        <v>-198278.36015663084</v>
      </c>
      <c r="M11" s="7" t="str">
        <f t="shared" si="4"/>
        <v/>
      </c>
    </row>
    <row r="12" spans="1:13">
      <c r="A12" s="7">
        <v>5</v>
      </c>
      <c r="B12" s="7"/>
      <c r="C12" s="8">
        <f t="shared" si="10"/>
        <v>76000</v>
      </c>
      <c r="D12" s="7"/>
      <c r="E12" s="7">
        <f t="shared" si="1"/>
        <v>76000</v>
      </c>
      <c r="F12" s="8">
        <f t="shared" si="5"/>
        <v>-70000</v>
      </c>
      <c r="G12" s="7" t="str">
        <f t="shared" si="2"/>
        <v/>
      </c>
      <c r="H12" s="7">
        <f t="shared" si="6"/>
        <v>0</v>
      </c>
      <c r="I12" s="7">
        <f t="shared" si="7"/>
        <v>51724.322974565228</v>
      </c>
      <c r="J12" s="7">
        <f t="shared" si="8"/>
        <v>0</v>
      </c>
      <c r="K12" s="7">
        <f t="shared" si="3"/>
        <v>51724.322974565228</v>
      </c>
      <c r="L12" s="8">
        <f t="shared" si="9"/>
        <v>-146554.0371820656</v>
      </c>
      <c r="M12" s="7" t="str">
        <f t="shared" si="4"/>
        <v/>
      </c>
    </row>
    <row r="13" spans="1:13">
      <c r="A13" s="7">
        <v>6</v>
      </c>
      <c r="B13" s="7"/>
      <c r="C13" s="8">
        <f t="shared" si="10"/>
        <v>76000</v>
      </c>
      <c r="D13" s="7"/>
      <c r="E13" s="7">
        <f t="shared" si="1"/>
        <v>76000</v>
      </c>
      <c r="F13" s="8">
        <f t="shared" si="5"/>
        <v>6000</v>
      </c>
      <c r="G13" s="9">
        <f t="shared" si="2"/>
        <v>5.9210526315789469</v>
      </c>
      <c r="H13" s="7">
        <f t="shared" si="6"/>
        <v>0</v>
      </c>
      <c r="I13" s="7">
        <f t="shared" si="7"/>
        <v>47892.891643115945</v>
      </c>
      <c r="J13" s="7">
        <f t="shared" si="8"/>
        <v>0</v>
      </c>
      <c r="K13" s="7">
        <f t="shared" si="3"/>
        <v>47892.891643115945</v>
      </c>
      <c r="L13" s="8">
        <f t="shared" si="9"/>
        <v>-98661.145538949655</v>
      </c>
      <c r="M13" s="7" t="str">
        <f t="shared" si="4"/>
        <v/>
      </c>
    </row>
    <row r="14" spans="1:13">
      <c r="A14" s="7">
        <v>7</v>
      </c>
      <c r="B14" s="7"/>
      <c r="C14" s="8">
        <f t="shared" si="10"/>
        <v>76000</v>
      </c>
      <c r="D14" s="7"/>
      <c r="E14" s="7">
        <f t="shared" si="1"/>
        <v>76000</v>
      </c>
      <c r="F14" s="8">
        <f t="shared" si="5"/>
        <v>82000</v>
      </c>
      <c r="G14" s="7" t="str">
        <f t="shared" si="2"/>
        <v/>
      </c>
      <c r="H14" s="7">
        <f t="shared" si="6"/>
        <v>0</v>
      </c>
      <c r="I14" s="7">
        <f t="shared" si="7"/>
        <v>44345.270039922172</v>
      </c>
      <c r="J14" s="7">
        <f t="shared" si="8"/>
        <v>0</v>
      </c>
      <c r="K14" s="7">
        <f t="shared" si="3"/>
        <v>44345.270039922172</v>
      </c>
      <c r="L14" s="8">
        <f t="shared" si="9"/>
        <v>-54315.875499027483</v>
      </c>
      <c r="M14" s="7" t="str">
        <f t="shared" si="4"/>
        <v/>
      </c>
    </row>
    <row r="15" spans="1:13">
      <c r="A15" s="7">
        <v>8</v>
      </c>
      <c r="B15" s="7"/>
      <c r="C15" s="8">
        <f t="shared" si="10"/>
        <v>76000</v>
      </c>
      <c r="D15" s="7"/>
      <c r="E15" s="7">
        <f t="shared" si="1"/>
        <v>76000</v>
      </c>
      <c r="F15" s="8">
        <f t="shared" si="5"/>
        <v>158000</v>
      </c>
      <c r="G15" s="7" t="str">
        <f t="shared" si="2"/>
        <v/>
      </c>
      <c r="H15" s="7">
        <f t="shared" si="6"/>
        <v>0</v>
      </c>
      <c r="I15" s="7">
        <f t="shared" si="7"/>
        <v>41060.435222150161</v>
      </c>
      <c r="J15" s="7">
        <f t="shared" si="8"/>
        <v>0</v>
      </c>
      <c r="K15" s="7">
        <f t="shared" si="3"/>
        <v>41060.435222150161</v>
      </c>
      <c r="L15" s="8">
        <f t="shared" si="9"/>
        <v>-13255.440276877322</v>
      </c>
      <c r="M15" s="7" t="str">
        <f t="shared" si="4"/>
        <v/>
      </c>
    </row>
    <row r="16" spans="1:13">
      <c r="A16" s="7">
        <v>9</v>
      </c>
      <c r="B16" s="7"/>
      <c r="C16" s="8">
        <f t="shared" si="10"/>
        <v>76000</v>
      </c>
      <c r="D16" s="7"/>
      <c r="E16" s="7">
        <f t="shared" si="1"/>
        <v>76000</v>
      </c>
      <c r="F16" s="8">
        <f t="shared" si="5"/>
        <v>234000</v>
      </c>
      <c r="G16" s="7" t="str">
        <f t="shared" si="2"/>
        <v/>
      </c>
      <c r="H16" s="7">
        <f t="shared" si="6"/>
        <v>0</v>
      </c>
      <c r="I16" s="7">
        <f t="shared" si="7"/>
        <v>38018.921501990888</v>
      </c>
      <c r="J16" s="7">
        <f t="shared" si="8"/>
        <v>0</v>
      </c>
      <c r="K16" s="7">
        <f t="shared" si="3"/>
        <v>38018.921501990888</v>
      </c>
      <c r="L16" s="8">
        <f t="shared" si="9"/>
        <v>24763.481225113566</v>
      </c>
      <c r="M16" s="10">
        <f t="shared" si="4"/>
        <v>8.3486537690497933</v>
      </c>
    </row>
    <row r="17" spans="1:13">
      <c r="A17" s="7">
        <v>10</v>
      </c>
      <c r="B17" s="7"/>
      <c r="C17" s="8">
        <f t="shared" si="10"/>
        <v>76000</v>
      </c>
      <c r="D17" s="8">
        <f>Assumptions!B16</f>
        <v>20000</v>
      </c>
      <c r="E17" s="7">
        <f t="shared" si="1"/>
        <v>96000</v>
      </c>
      <c r="F17" s="11">
        <f t="shared" si="5"/>
        <v>330000</v>
      </c>
      <c r="G17" s="7" t="str">
        <f t="shared" si="2"/>
        <v/>
      </c>
      <c r="H17" s="7">
        <f t="shared" si="6"/>
        <v>0</v>
      </c>
      <c r="I17" s="7">
        <f t="shared" si="7"/>
        <v>35202.705094436002</v>
      </c>
      <c r="J17" s="7">
        <f t="shared" si="8"/>
        <v>9263.8697616936843</v>
      </c>
      <c r="K17" s="7">
        <f t="shared" si="3"/>
        <v>44466.574856129686</v>
      </c>
      <c r="L17" s="11">
        <f t="shared" si="9"/>
        <v>69230.056081243252</v>
      </c>
      <c r="M17" s="7" t="str">
        <f t="shared" si="4"/>
        <v/>
      </c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5" t="s">
        <v>9</v>
      </c>
      <c r="M18" s="7"/>
    </row>
    <row r="19" spans="1:13">
      <c r="A19" s="13" t="s">
        <v>8</v>
      </c>
      <c r="B19" s="14">
        <f>SUM(B7:B17)</f>
        <v>-450000</v>
      </c>
      <c r="C19" s="14">
        <f t="shared" ref="C19:D19" si="11">SUM(C7:C17)</f>
        <v>760000</v>
      </c>
      <c r="D19" s="8">
        <f t="shared" si="11"/>
        <v>20000</v>
      </c>
      <c r="E19" s="8"/>
      <c r="F19" s="8"/>
      <c r="G19" s="16">
        <f>SUM(G7:G17)</f>
        <v>5.9210526315789469</v>
      </c>
      <c r="H19" s="12">
        <f>SUM(H7:H17)</f>
        <v>-450000</v>
      </c>
      <c r="I19" s="12">
        <f t="shared" ref="I19:J19" si="12">SUM(I7:I17)</f>
        <v>509966.18631954963</v>
      </c>
      <c r="J19" s="12">
        <f t="shared" si="12"/>
        <v>9263.8697616936843</v>
      </c>
      <c r="K19" s="7"/>
      <c r="L19" s="7"/>
      <c r="M19" s="16">
        <f>SUM(M7:M17)</f>
        <v>8.3486537690497933</v>
      </c>
    </row>
    <row r="21" spans="1:13">
      <c r="B21" s="3" t="s">
        <v>51</v>
      </c>
      <c r="C21" s="38">
        <f>IRR(B7:D17)</f>
        <v>0.11203865764671539</v>
      </c>
      <c r="D21" t="s">
        <v>54</v>
      </c>
      <c r="E21" s="1">
        <f>C8/-B7</f>
        <v>0.16888888888888889</v>
      </c>
      <c r="F21" s="1"/>
      <c r="G21" s="1"/>
      <c r="H21" s="1"/>
      <c r="I21" s="1"/>
      <c r="J21" s="1"/>
      <c r="K21" s="1"/>
      <c r="L21" s="1"/>
    </row>
    <row r="22" spans="1:13">
      <c r="F22" s="1"/>
    </row>
    <row r="24" spans="1:13">
      <c r="B24" t="s">
        <v>16</v>
      </c>
      <c r="C24" s="2">
        <f>-B19/C8</f>
        <v>5.9210526315789478</v>
      </c>
      <c r="H24" s="2"/>
    </row>
  </sheetData>
  <mergeCells count="2">
    <mergeCell ref="B5:E5"/>
    <mergeCell ref="H5:K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Assumptions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Kamath, Dipti</dc:creator>
  <cp:lastModifiedBy>Kamath, Dipti</cp:lastModifiedBy>
  <dcterms:created xsi:type="dcterms:W3CDTF">2026-10-13T19:50:30Z</dcterms:created>
  <dcterms:modified xsi:type="dcterms:W3CDTF">2026-10-20T20:56:00Z</dcterms:modified>
</cp:coreProperties>
</file>