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defaultThemeVersion="124226"/>
  <xr:revisionPtr revIDLastSave="5" documentId="13_ncr:1_{5611B4F6-4566-4F5C-AEC7-37A95C2A02DA}" xr6:coauthVersionLast="47" xr6:coauthVersionMax="47" xr10:uidLastSave="{69680CF6-9EAE-42C1-8B69-30CCA8747695}"/>
  <bookViews>
    <workbookView xWindow="20370" yWindow="-120" windowWidth="24240" windowHeight="13020" tabRatio="861" xr2:uid="{00000000-000D-0000-FFFF-FFFF00000000}"/>
  </bookViews>
  <sheets>
    <sheet name="1_INTRO" sheetId="25" r:id="rId1"/>
    <sheet name="2_Energy IN &amp; OUT" sheetId="1" r:id="rId2"/>
    <sheet name="3A_Energy CONSUMED" sheetId="26" r:id="rId3"/>
    <sheet name="3B_Process Block Diagrams" sheetId="27" r:id="rId4"/>
    <sheet name="3C_Elec Equip Master" sheetId="15" r:id="rId5"/>
    <sheet name="3C1_EPAct Motor Eff." sheetId="28" r:id="rId6"/>
    <sheet name="3D_Combustion Equip Master" sheetId="16" r:id="rId7"/>
    <sheet name="3E_Diversity Factor" sheetId="29" r:id="rId8"/>
    <sheet name="4_Utility Data" sheetId="8" r:id="rId9"/>
    <sheet name="5_Estimated vs Actual" sheetId="9" r:id="rId10"/>
    <sheet name="6_Two Key Pies" sheetId="7" r:id="rId11"/>
    <sheet name="7_SEUs" sheetId="10" r:id="rId12"/>
    <sheet name="7A_SEU Actions" sheetId="30" r:id="rId13"/>
    <sheet name="8_Energy IMPV" sheetId="31" r:id="rId14"/>
    <sheet name="9_Action Plan Template" sheetId="32" r:id="rId15"/>
    <sheet name="10_Operational Controls" sheetId="33" r:id="rId16"/>
    <sheet name="99A_Baseline&amp;Achievement" sheetId="34" r:id="rId17"/>
    <sheet name="99B_Bottom Up Graphic" sheetId="35" r:id="rId18"/>
  </sheets>
  <definedNames>
    <definedName name="_xlnm._FilterDatabase" localSheetId="4" hidden="1">'3C_Elec Equip Master'!$A$10:$BD$538</definedName>
    <definedName name="_xlnm._FilterDatabase" localSheetId="6" hidden="1">'3D_Combustion Equip Master'!$A$10:$AN$94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28" l="1"/>
  <c r="Q20" i="28"/>
  <c r="AF17" i="31"/>
  <c r="AF16" i="31"/>
  <c r="AF15" i="31"/>
  <c r="AF14" i="31"/>
  <c r="AF13" i="31"/>
  <c r="AF12" i="31"/>
  <c r="AF11" i="31"/>
  <c r="AF10" i="31"/>
  <c r="S40" i="29"/>
  <c r="I40" i="29"/>
  <c r="S39" i="29"/>
  <c r="S41" i="29" s="1"/>
  <c r="S43" i="29" s="1"/>
  <c r="S44" i="29" s="1"/>
  <c r="I39" i="29"/>
  <c r="I41" i="29" s="1"/>
  <c r="I43" i="29" s="1"/>
  <c r="I44" i="29" s="1"/>
  <c r="BA143" i="26"/>
  <c r="BA144" i="26" s="1"/>
  <c r="J34" i="10" l="1"/>
  <c r="E23" i="10"/>
  <c r="E25" i="10"/>
  <c r="E27" i="10"/>
  <c r="D16" i="10"/>
  <c r="D17" i="10"/>
  <c r="D18" i="10"/>
  <c r="D19" i="10"/>
  <c r="D20" i="10"/>
  <c r="D21" i="10"/>
  <c r="D22" i="10"/>
  <c r="D23" i="10"/>
  <c r="D24" i="10"/>
  <c r="D25" i="10"/>
  <c r="D26" i="10"/>
  <c r="D27" i="10"/>
  <c r="D28" i="10"/>
  <c r="D29" i="10"/>
  <c r="D30" i="10"/>
  <c r="D31" i="10"/>
  <c r="D32" i="10"/>
  <c r="D33" i="10"/>
  <c r="O39" i="7"/>
  <c r="E28" i="10" s="1"/>
  <c r="O26" i="7"/>
  <c r="O43" i="7"/>
  <c r="E32" i="10" s="1"/>
  <c r="O42" i="7"/>
  <c r="E31" i="10" s="1"/>
  <c r="O36" i="7"/>
  <c r="O28" i="7"/>
  <c r="E17" i="10" s="1"/>
  <c r="O31" i="7"/>
  <c r="E20" i="10" s="1"/>
  <c r="O41" i="7"/>
  <c r="E30" i="10" s="1"/>
  <c r="O37" i="7"/>
  <c r="E26" i="10" s="1"/>
  <c r="O32" i="7"/>
  <c r="E21" i="10" s="1"/>
  <c r="O29" i="7"/>
  <c r="E18" i="10" s="1"/>
  <c r="O44" i="7"/>
  <c r="E33" i="10" s="1"/>
  <c r="O35" i="7"/>
  <c r="E24" i="10" s="1"/>
  <c r="O40" i="7"/>
  <c r="E29" i="10" s="1"/>
  <c r="O38" i="7"/>
  <c r="O34" i="7"/>
  <c r="O30" i="7"/>
  <c r="E19" i="10" s="1"/>
  <c r="AE113" i="16"/>
  <c r="AE112" i="16"/>
  <c r="AF120" i="16"/>
  <c r="AQ555" i="15"/>
  <c r="O27" i="7" s="1"/>
  <c r="AQ554" i="15"/>
  <c r="O33" i="7" s="1"/>
  <c r="E22" i="10" s="1"/>
  <c r="E16" i="10" l="1"/>
  <c r="E35" i="10" s="1"/>
  <c r="O47" i="7"/>
  <c r="AE120" i="16"/>
  <c r="F137" i="8" l="1"/>
  <c r="I6" i="15" s="1"/>
  <c r="AR573" i="15"/>
  <c r="AR574" i="15" s="1"/>
  <c r="AQ573" i="15"/>
  <c r="I6" i="16"/>
  <c r="H20" i="9"/>
  <c r="AE104" i="16"/>
  <c r="AD104" i="16"/>
  <c r="AE101" i="16"/>
  <c r="AD101" i="16"/>
  <c r="AE82" i="16"/>
  <c r="AD82" i="16"/>
  <c r="AE81" i="16"/>
  <c r="AD81" i="16"/>
  <c r="AC80" i="16"/>
  <c r="AE80" i="16" s="1"/>
  <c r="AB80" i="16"/>
  <c r="AD80" i="16" s="1"/>
  <c r="I137" i="8"/>
  <c r="Q125" i="8"/>
  <c r="R76" i="16"/>
  <c r="AJ508" i="15"/>
  <c r="BC516" i="15" l="1"/>
  <c r="BD516" i="15"/>
  <c r="BC514" i="15"/>
  <c r="BD514" i="15"/>
  <c r="BC515" i="15"/>
  <c r="BD515" i="15"/>
  <c r="BC517" i="15"/>
  <c r="BD517" i="15"/>
  <c r="BC518" i="15"/>
  <c r="BD518" i="15"/>
  <c r="BC519" i="15"/>
  <c r="BD519" i="15"/>
  <c r="BC520" i="15"/>
  <c r="BD520" i="15"/>
  <c r="AP516" i="15"/>
  <c r="AQ516" i="15"/>
  <c r="AP514" i="15"/>
  <c r="AQ514" i="15"/>
  <c r="AP515" i="15"/>
  <c r="AQ515" i="15"/>
  <c r="AP517" i="15"/>
  <c r="AQ517" i="15"/>
  <c r="AP518" i="15"/>
  <c r="AQ518" i="15"/>
  <c r="AP519" i="15"/>
  <c r="AQ519" i="15"/>
  <c r="AP520" i="15"/>
  <c r="AQ520" i="15"/>
  <c r="R133" i="8"/>
  <c r="H13" i="9"/>
  <c r="R122" i="8" l="1"/>
  <c r="R123" i="8"/>
  <c r="R124" i="8"/>
  <c r="R125" i="8"/>
  <c r="R126" i="8"/>
  <c r="R127" i="8"/>
  <c r="R128" i="8"/>
  <c r="R129" i="8"/>
  <c r="R130" i="8"/>
  <c r="R131" i="8"/>
  <c r="R132" i="8"/>
  <c r="Q122" i="8"/>
  <c r="Q123" i="8"/>
  <c r="Q124" i="8"/>
  <c r="Q126" i="8"/>
  <c r="Q127" i="8"/>
  <c r="Q128" i="8"/>
  <c r="Q129" i="8"/>
  <c r="Q130" i="8"/>
  <c r="Q131" i="8"/>
  <c r="Q132" i="8"/>
  <c r="Q133" i="8"/>
  <c r="P122" i="8"/>
  <c r="P123" i="8"/>
  <c r="P124" i="8"/>
  <c r="P125" i="8"/>
  <c r="P126" i="8"/>
  <c r="P127" i="8"/>
  <c r="P128" i="8"/>
  <c r="P129" i="8"/>
  <c r="P130" i="8"/>
  <c r="P131" i="8"/>
  <c r="P132" i="8"/>
  <c r="P133" i="8"/>
  <c r="N134" i="8"/>
  <c r="M134" i="8"/>
  <c r="L134" i="8"/>
  <c r="K134" i="8"/>
  <c r="J134" i="8"/>
  <c r="F134" i="8" l="1"/>
  <c r="O133" i="8"/>
  <c r="O132" i="8"/>
  <c r="O131" i="8"/>
  <c r="O130" i="8"/>
  <c r="O129" i="8"/>
  <c r="O128" i="8"/>
  <c r="O127" i="8"/>
  <c r="O126" i="8"/>
  <c r="O125" i="8"/>
  <c r="O124" i="8"/>
  <c r="O123" i="8"/>
  <c r="O122" i="8"/>
  <c r="R121" i="8" l="1"/>
  <c r="Q121" i="8"/>
  <c r="P110" i="8"/>
  <c r="P111" i="8"/>
  <c r="P112" i="8"/>
  <c r="P113" i="8"/>
  <c r="P114" i="8"/>
  <c r="P115" i="8"/>
  <c r="P116" i="8"/>
  <c r="P117" i="8"/>
  <c r="P118" i="8"/>
  <c r="P119" i="8"/>
  <c r="P120" i="8"/>
  <c r="P121" i="8"/>
  <c r="O110" i="8"/>
  <c r="O111" i="8"/>
  <c r="O112" i="8"/>
  <c r="O113" i="8"/>
  <c r="O114" i="8"/>
  <c r="O115" i="8"/>
  <c r="O116" i="8"/>
  <c r="O117" i="8"/>
  <c r="O118" i="8"/>
  <c r="O119" i="8"/>
  <c r="O120" i="8"/>
  <c r="O121" i="8"/>
  <c r="I109" i="8" l="1"/>
  <c r="I99" i="8"/>
  <c r="I100" i="8"/>
  <c r="I101" i="8"/>
  <c r="I102" i="8"/>
  <c r="I103" i="8"/>
  <c r="I104" i="8"/>
  <c r="I105" i="8"/>
  <c r="I106" i="8"/>
  <c r="I107" i="8"/>
  <c r="I108" i="8"/>
  <c r="G98" i="8"/>
  <c r="G99" i="8"/>
  <c r="G100" i="8"/>
  <c r="G101" i="8"/>
  <c r="G102" i="8"/>
  <c r="G103" i="8"/>
  <c r="G104" i="8"/>
  <c r="G105" i="8"/>
  <c r="G106" i="8"/>
  <c r="G107" i="8"/>
  <c r="G108" i="8"/>
  <c r="G109" i="8"/>
  <c r="E15" i="10" l="1"/>
  <c r="M24" i="10"/>
  <c r="AL545" i="15"/>
  <c r="AL498" i="15"/>
  <c r="AM498" i="15"/>
  <c r="AL499" i="15"/>
  <c r="AM499" i="15"/>
  <c r="AL500" i="15"/>
  <c r="AM500" i="15"/>
  <c r="AK500" i="15"/>
  <c r="AL495" i="15"/>
  <c r="AM495" i="15"/>
  <c r="AL496" i="15"/>
  <c r="AM496" i="15"/>
  <c r="AL503" i="15"/>
  <c r="AM503" i="15"/>
  <c r="AL501" i="15"/>
  <c r="AM501" i="15"/>
  <c r="AK501" i="15"/>
  <c r="AL414" i="15"/>
  <c r="AM414" i="15"/>
  <c r="AL415" i="15"/>
  <c r="AM415" i="15"/>
  <c r="AL425" i="15"/>
  <c r="AM425" i="15"/>
  <c r="AL504" i="15"/>
  <c r="AJ504" i="15"/>
  <c r="AM504" i="15"/>
  <c r="AL505" i="15"/>
  <c r="AM505" i="15"/>
  <c r="AL506" i="15"/>
  <c r="AM506" i="15"/>
  <c r="AL507" i="15"/>
  <c r="AM507" i="15"/>
  <c r="AL129" i="15"/>
  <c r="AB7" i="15"/>
  <c r="AG340" i="15" s="1"/>
  <c r="AJ340" i="15" s="1"/>
  <c r="AM129" i="15"/>
  <c r="AL131" i="15"/>
  <c r="AM131" i="15"/>
  <c r="AL412" i="15"/>
  <c r="AM412" i="15"/>
  <c r="AL413" i="15"/>
  <c r="AM413" i="15"/>
  <c r="AL405" i="15"/>
  <c r="AM405" i="15"/>
  <c r="AL406" i="15"/>
  <c r="AM406" i="15"/>
  <c r="AL407" i="15"/>
  <c r="AM407" i="15"/>
  <c r="AL423" i="15"/>
  <c r="AM423" i="15"/>
  <c r="AL276" i="15"/>
  <c r="AM276" i="15"/>
  <c r="AL277" i="15"/>
  <c r="AM277" i="15"/>
  <c r="AL350" i="15"/>
  <c r="AM350" i="15"/>
  <c r="AL351" i="15"/>
  <c r="AM351" i="15"/>
  <c r="AL370" i="15"/>
  <c r="AM370" i="15"/>
  <c r="AL395" i="15"/>
  <c r="AM395" i="15"/>
  <c r="AL397" i="15"/>
  <c r="AM397" i="15"/>
  <c r="AL508" i="15"/>
  <c r="AM508" i="15"/>
  <c r="AL509" i="15"/>
  <c r="AM509" i="15"/>
  <c r="AL212" i="15"/>
  <c r="AM212" i="15"/>
  <c r="AL237" i="15"/>
  <c r="AM237" i="15"/>
  <c r="AL247" i="15"/>
  <c r="AM247" i="15"/>
  <c r="AL248" i="15"/>
  <c r="AM248" i="15"/>
  <c r="AL262" i="15"/>
  <c r="AM262" i="15"/>
  <c r="AL280" i="15"/>
  <c r="AM280" i="15"/>
  <c r="AL281" i="15"/>
  <c r="AM281" i="15"/>
  <c r="AL342" i="15"/>
  <c r="AM342" i="15"/>
  <c r="AL343" i="15"/>
  <c r="AM343" i="15"/>
  <c r="AL396" i="15"/>
  <c r="AM396" i="15"/>
  <c r="AL398" i="15"/>
  <c r="AM398" i="15"/>
  <c r="AL502" i="15"/>
  <c r="AM502" i="15"/>
  <c r="AL55" i="15"/>
  <c r="AM55" i="15"/>
  <c r="AL57" i="15"/>
  <c r="AM57" i="15"/>
  <c r="AL67" i="15"/>
  <c r="AM67" i="15"/>
  <c r="AL128" i="15"/>
  <c r="AM128" i="15"/>
  <c r="AL259" i="15"/>
  <c r="AM259" i="15"/>
  <c r="AL273" i="15"/>
  <c r="AM273" i="15"/>
  <c r="AL295" i="15"/>
  <c r="AM295" i="15"/>
  <c r="AL296" i="15"/>
  <c r="AM296" i="15"/>
  <c r="AL297" i="15"/>
  <c r="AM297" i="15"/>
  <c r="AL301" i="15"/>
  <c r="AM301" i="15"/>
  <c r="AL306" i="15"/>
  <c r="AM306" i="15"/>
  <c r="AL307" i="15"/>
  <c r="AM307" i="15"/>
  <c r="AL83" i="15"/>
  <c r="AM83" i="15"/>
  <c r="AL118" i="15"/>
  <c r="AM118" i="15"/>
  <c r="AL133" i="15"/>
  <c r="AM133" i="15"/>
  <c r="AL136" i="15"/>
  <c r="AM136" i="15"/>
  <c r="AL139" i="15"/>
  <c r="AM139" i="15"/>
  <c r="AL349" i="15"/>
  <c r="AM349" i="15"/>
  <c r="AL421" i="15"/>
  <c r="AM421" i="15"/>
  <c r="AL427" i="15"/>
  <c r="AM427" i="15"/>
  <c r="AL491" i="15"/>
  <c r="AM491" i="15"/>
  <c r="AL492" i="15"/>
  <c r="AM492" i="15"/>
  <c r="AL493" i="15"/>
  <c r="AM493" i="15"/>
  <c r="AL494" i="15"/>
  <c r="AM494" i="15"/>
  <c r="AL11" i="15"/>
  <c r="AM11" i="15"/>
  <c r="AL14" i="15"/>
  <c r="AM14" i="15"/>
  <c r="AL18" i="15"/>
  <c r="AM18" i="15"/>
  <c r="AL20" i="15"/>
  <c r="AM20" i="15"/>
  <c r="AL22" i="15"/>
  <c r="AM22" i="15"/>
  <c r="AL24" i="15"/>
  <c r="AM24" i="15"/>
  <c r="AL49" i="15"/>
  <c r="AM49" i="15"/>
  <c r="AL51" i="15"/>
  <c r="AM51" i="15"/>
  <c r="AL94" i="15"/>
  <c r="AM94" i="15"/>
  <c r="AL95" i="15"/>
  <c r="AM95" i="15"/>
  <c r="AL96" i="15"/>
  <c r="AM96" i="15"/>
  <c r="AL121" i="15"/>
  <c r="AM121" i="15"/>
  <c r="AL130" i="15"/>
  <c r="AM130" i="15"/>
  <c r="AL140" i="15"/>
  <c r="AM140" i="15"/>
  <c r="AL142" i="15"/>
  <c r="AM142" i="15"/>
  <c r="AL153" i="15"/>
  <c r="AM153" i="15"/>
  <c r="AL155" i="15"/>
  <c r="AM155" i="15"/>
  <c r="AL182" i="15"/>
  <c r="AM182" i="15"/>
  <c r="AL191" i="15"/>
  <c r="AM191" i="15"/>
  <c r="AL213" i="15"/>
  <c r="AM213" i="15"/>
  <c r="AL214" i="15"/>
  <c r="AM214" i="15"/>
  <c r="AL215" i="15"/>
  <c r="AM215" i="15"/>
  <c r="AL216" i="15"/>
  <c r="AM216" i="15"/>
  <c r="AL251" i="15"/>
  <c r="AM251" i="15"/>
  <c r="AL252" i="15"/>
  <c r="AM252" i="15"/>
  <c r="AL253" i="15"/>
  <c r="AM253" i="15"/>
  <c r="AL254" i="15"/>
  <c r="AM254" i="15"/>
  <c r="AL263" i="15"/>
  <c r="AM263" i="15"/>
  <c r="AL264" i="15"/>
  <c r="AM264" i="15"/>
  <c r="AL265" i="15"/>
  <c r="AM265" i="15"/>
  <c r="AL266" i="15"/>
  <c r="AM266" i="15"/>
  <c r="AL282" i="15"/>
  <c r="AM282" i="15"/>
  <c r="AL283" i="15"/>
  <c r="AM283" i="15"/>
  <c r="AL284" i="15"/>
  <c r="AM284" i="15"/>
  <c r="AL285" i="15"/>
  <c r="AM285" i="15"/>
  <c r="AL291" i="15"/>
  <c r="AM291" i="15"/>
  <c r="AL292" i="15"/>
  <c r="AM292" i="15"/>
  <c r="AL293" i="15"/>
  <c r="AM293" i="15"/>
  <c r="AL294" i="15"/>
  <c r="AM294" i="15"/>
  <c r="AL302" i="15"/>
  <c r="AM302" i="15"/>
  <c r="AL303" i="15"/>
  <c r="AM303" i="15"/>
  <c r="AL304" i="15"/>
  <c r="AM304" i="15"/>
  <c r="AL305" i="15"/>
  <c r="AM305" i="15"/>
  <c r="AL394" i="15"/>
  <c r="AM394" i="15"/>
  <c r="AL489" i="15"/>
  <c r="AM489" i="15"/>
  <c r="AL490" i="15"/>
  <c r="AM490" i="15"/>
  <c r="AL107" i="15"/>
  <c r="AM107" i="15"/>
  <c r="AL85" i="15"/>
  <c r="AM85" i="15"/>
  <c r="AL180" i="15"/>
  <c r="AM180" i="15"/>
  <c r="AL373" i="15"/>
  <c r="AM373" i="15"/>
  <c r="AL375" i="15"/>
  <c r="AM375" i="15"/>
  <c r="AL382" i="15"/>
  <c r="AM382" i="15"/>
  <c r="AL383" i="15"/>
  <c r="AM383" i="15"/>
  <c r="AL385" i="15"/>
  <c r="AM385" i="15"/>
  <c r="AL399" i="15"/>
  <c r="AM399" i="15"/>
  <c r="AL402" i="15"/>
  <c r="AM402" i="15"/>
  <c r="AL403" i="15"/>
  <c r="AM403" i="15"/>
  <c r="AL404" i="15"/>
  <c r="AM404" i="15"/>
  <c r="AL408" i="15"/>
  <c r="AM408" i="15"/>
  <c r="AL409" i="15"/>
  <c r="AM409" i="15"/>
  <c r="AL410" i="15"/>
  <c r="AM410" i="15"/>
  <c r="AL411" i="15"/>
  <c r="AM411" i="15"/>
  <c r="AL422" i="15"/>
  <c r="AM422" i="15"/>
  <c r="AL424" i="15"/>
  <c r="AM424" i="15"/>
  <c r="AL511" i="15"/>
  <c r="AM511" i="15"/>
  <c r="AL12" i="15"/>
  <c r="AM12" i="15"/>
  <c r="AL13" i="15"/>
  <c r="AM13" i="15"/>
  <c r="AL16" i="15"/>
  <c r="AM16" i="15"/>
  <c r="AL17" i="15"/>
  <c r="AM17" i="15"/>
  <c r="AL27" i="15"/>
  <c r="AM27" i="15"/>
  <c r="AL28" i="15"/>
  <c r="AM28" i="15"/>
  <c r="AL29" i="15"/>
  <c r="AM29" i="15"/>
  <c r="AL32" i="15"/>
  <c r="AM32" i="15"/>
  <c r="AL33" i="15"/>
  <c r="AM33" i="15"/>
  <c r="AL34" i="15"/>
  <c r="AM34" i="15"/>
  <c r="AL50" i="15"/>
  <c r="AM50" i="15"/>
  <c r="AL53" i="15"/>
  <c r="AM53" i="15"/>
  <c r="AL54" i="15"/>
  <c r="AM54" i="15"/>
  <c r="AL59" i="15"/>
  <c r="AM59" i="15"/>
  <c r="AL60" i="15"/>
  <c r="AM60" i="15"/>
  <c r="AL61" i="15"/>
  <c r="AM61" i="15"/>
  <c r="AL62" i="15"/>
  <c r="AM62" i="15"/>
  <c r="AL63" i="15"/>
  <c r="AM63" i="15"/>
  <c r="AL64" i="15"/>
  <c r="AM64" i="15"/>
  <c r="AL65" i="15"/>
  <c r="AM65" i="15"/>
  <c r="AL66" i="15"/>
  <c r="AM66" i="15"/>
  <c r="AL69" i="15"/>
  <c r="AM69" i="15"/>
  <c r="AL89" i="15"/>
  <c r="AM89" i="15"/>
  <c r="AL108" i="15"/>
  <c r="AM108" i="15"/>
  <c r="AL109" i="15"/>
  <c r="AM109" i="15"/>
  <c r="AL110" i="15"/>
  <c r="AM110" i="15"/>
  <c r="AL112" i="15"/>
  <c r="AM112" i="15"/>
  <c r="AL124" i="15"/>
  <c r="AM124" i="15"/>
  <c r="AL125" i="15"/>
  <c r="AM125" i="15"/>
  <c r="AL127" i="15"/>
  <c r="AM127" i="15"/>
  <c r="AL179" i="15"/>
  <c r="AM179" i="15"/>
  <c r="AL217" i="15"/>
  <c r="AM217" i="15"/>
  <c r="AL218" i="15"/>
  <c r="AM218" i="15"/>
  <c r="AL256" i="15"/>
  <c r="AM256" i="15"/>
  <c r="AL257" i="15"/>
  <c r="AM257" i="15"/>
  <c r="AL268" i="15"/>
  <c r="AM268" i="15"/>
  <c r="AL269" i="15"/>
  <c r="AM269" i="15"/>
  <c r="AL288" i="15"/>
  <c r="AM288" i="15"/>
  <c r="AL289" i="15"/>
  <c r="AM289" i="15"/>
  <c r="AL298" i="15"/>
  <c r="AM298" i="15"/>
  <c r="AL299" i="15"/>
  <c r="AM299" i="15"/>
  <c r="AL308" i="15"/>
  <c r="AM308" i="15"/>
  <c r="AL309" i="15"/>
  <c r="AM309" i="15"/>
  <c r="AL315" i="15"/>
  <c r="AM315" i="15"/>
  <c r="AL344" i="15"/>
  <c r="AM344" i="15"/>
  <c r="AL345" i="15"/>
  <c r="AM345" i="15"/>
  <c r="AL346" i="15"/>
  <c r="AM346" i="15"/>
  <c r="AL347" i="15"/>
  <c r="AM347" i="15"/>
  <c r="AL352" i="15"/>
  <c r="AM352" i="15"/>
  <c r="AL353" i="15"/>
  <c r="AM353" i="15"/>
  <c r="AL354" i="15"/>
  <c r="AM354" i="15"/>
  <c r="AL355" i="15"/>
  <c r="AM355" i="15"/>
  <c r="AL357" i="15"/>
  <c r="AM357" i="15"/>
  <c r="AL358" i="15"/>
  <c r="AM358" i="15"/>
  <c r="AL359" i="15"/>
  <c r="AM359" i="15"/>
  <c r="AL360" i="15"/>
  <c r="AM360" i="15"/>
  <c r="AL400" i="15"/>
  <c r="AM400" i="15"/>
  <c r="AL401" i="15"/>
  <c r="AM401" i="15"/>
  <c r="AL426" i="15"/>
  <c r="AM426" i="15"/>
  <c r="AL510" i="15"/>
  <c r="AM510" i="15"/>
  <c r="AL87" i="15"/>
  <c r="AM87" i="15"/>
  <c r="AL157" i="15"/>
  <c r="AM157" i="15"/>
  <c r="AL160" i="15"/>
  <c r="AM160" i="15"/>
  <c r="AL181" i="15"/>
  <c r="AM181" i="15"/>
  <c r="AL183" i="15"/>
  <c r="AM183" i="15"/>
  <c r="AL184" i="15"/>
  <c r="AM184" i="15"/>
  <c r="AL327" i="15"/>
  <c r="AM327" i="15"/>
  <c r="AL330" i="15"/>
  <c r="AM330" i="15"/>
  <c r="AL363" i="15"/>
  <c r="AM363" i="15"/>
  <c r="AL376" i="15"/>
  <c r="AM376" i="15"/>
  <c r="AL377" i="15"/>
  <c r="AM377" i="15"/>
  <c r="AL387" i="15"/>
  <c r="AM387" i="15"/>
  <c r="AL417" i="15"/>
  <c r="AM417" i="15"/>
  <c r="AL26" i="15"/>
  <c r="AM26" i="15"/>
  <c r="AL30" i="15"/>
  <c r="AM30" i="15"/>
  <c r="AL31" i="15"/>
  <c r="AM31" i="15"/>
  <c r="AL46" i="15"/>
  <c r="AM46" i="15"/>
  <c r="AL76" i="15"/>
  <c r="AM76" i="15"/>
  <c r="AL79" i="15"/>
  <c r="AM79" i="15"/>
  <c r="AL80" i="15"/>
  <c r="AM80" i="15"/>
  <c r="AL81" i="15"/>
  <c r="AM81" i="15"/>
  <c r="AL82" i="15"/>
  <c r="AM82" i="15"/>
  <c r="AL86" i="15"/>
  <c r="AM86" i="15"/>
  <c r="AL88" i="15"/>
  <c r="AM88" i="15"/>
  <c r="AL98" i="15"/>
  <c r="AM98" i="15"/>
  <c r="AL113" i="15"/>
  <c r="AM113" i="15"/>
  <c r="AL114" i="15"/>
  <c r="AM114" i="15"/>
  <c r="AL115" i="15"/>
  <c r="AM115" i="15"/>
  <c r="AL116" i="15"/>
  <c r="AM116" i="15"/>
  <c r="AL135" i="15"/>
  <c r="AM135" i="15"/>
  <c r="AL138" i="15"/>
  <c r="AM138" i="15"/>
  <c r="AL144" i="15"/>
  <c r="AM144" i="15"/>
  <c r="AL145" i="15"/>
  <c r="AM145" i="15"/>
  <c r="AL147" i="15"/>
  <c r="AM147" i="15"/>
  <c r="AL149" i="15"/>
  <c r="AM149" i="15"/>
  <c r="AL152" i="15"/>
  <c r="AM152" i="15"/>
  <c r="AL161" i="15"/>
  <c r="AM161" i="15"/>
  <c r="AL193" i="15"/>
  <c r="AM193" i="15"/>
  <c r="AL207" i="15"/>
  <c r="AM207" i="15"/>
  <c r="AL208" i="15"/>
  <c r="AM208" i="15"/>
  <c r="AL209" i="15"/>
  <c r="AM209" i="15"/>
  <c r="AL210" i="15"/>
  <c r="AM210" i="15"/>
  <c r="AL211" i="15"/>
  <c r="AM211" i="15"/>
  <c r="AL222" i="15"/>
  <c r="AM222" i="15"/>
  <c r="AL233" i="15"/>
  <c r="AM233" i="15"/>
  <c r="AL271" i="15"/>
  <c r="AM271" i="15"/>
  <c r="AL272" i="15"/>
  <c r="AM272" i="15"/>
  <c r="AL274" i="15"/>
  <c r="AM274" i="15"/>
  <c r="AL275" i="15"/>
  <c r="AM275" i="15"/>
  <c r="AL278" i="15"/>
  <c r="AM278" i="15"/>
  <c r="AL279" i="15"/>
  <c r="AM279" i="15"/>
  <c r="AL319" i="15"/>
  <c r="AM319" i="15"/>
  <c r="AL336" i="15"/>
  <c r="AM336" i="15"/>
  <c r="AL341" i="15"/>
  <c r="AM341" i="15"/>
  <c r="AL348" i="15"/>
  <c r="AM348" i="15"/>
  <c r="AL356" i="15"/>
  <c r="AM356" i="15"/>
  <c r="AL361" i="15"/>
  <c r="AM361" i="15"/>
  <c r="AL371" i="15"/>
  <c r="AM371" i="15"/>
  <c r="AL372" i="15"/>
  <c r="AM372" i="15"/>
  <c r="AL379" i="15"/>
  <c r="AM379" i="15"/>
  <c r="AL386" i="15"/>
  <c r="AM386" i="15"/>
  <c r="AL35" i="15"/>
  <c r="AM35" i="15"/>
  <c r="AL84" i="15"/>
  <c r="AM84" i="15"/>
  <c r="AL90" i="15"/>
  <c r="AM90" i="15"/>
  <c r="AL91" i="15"/>
  <c r="AM91" i="15"/>
  <c r="AL92" i="15"/>
  <c r="AM92" i="15"/>
  <c r="AL93" i="15"/>
  <c r="AM93" i="15"/>
  <c r="AL97" i="15"/>
  <c r="AM97" i="15"/>
  <c r="AL146" i="15"/>
  <c r="AM146" i="15"/>
  <c r="AL148" i="15"/>
  <c r="AM148" i="15"/>
  <c r="AL186" i="15"/>
  <c r="AM186" i="15"/>
  <c r="AL190" i="15"/>
  <c r="AM190" i="15"/>
  <c r="AL203" i="15"/>
  <c r="AM203" i="15"/>
  <c r="AL206" i="15"/>
  <c r="AM206" i="15"/>
  <c r="AL224" i="15"/>
  <c r="AM224" i="15"/>
  <c r="AL226" i="15"/>
  <c r="AM226" i="15"/>
  <c r="AL234" i="15"/>
  <c r="AM234" i="15"/>
  <c r="AL246" i="15"/>
  <c r="AM246" i="15"/>
  <c r="AL249" i="15"/>
  <c r="AM249" i="15"/>
  <c r="AL250" i="15"/>
  <c r="AM250" i="15"/>
  <c r="AL260" i="15"/>
  <c r="AM260" i="15"/>
  <c r="AL261" i="15"/>
  <c r="AM261" i="15"/>
  <c r="AL314" i="15"/>
  <c r="AM314" i="15"/>
  <c r="AL325" i="15"/>
  <c r="AM325" i="15"/>
  <c r="AL326" i="15"/>
  <c r="AM326" i="15"/>
  <c r="AL335" i="15"/>
  <c r="AM335" i="15"/>
  <c r="AL362" i="15"/>
  <c r="AM362" i="15"/>
  <c r="AL366" i="15"/>
  <c r="AM366" i="15"/>
  <c r="AL384" i="15"/>
  <c r="AM384" i="15"/>
  <c r="AL392" i="15"/>
  <c r="AM392" i="15"/>
  <c r="AL418" i="15"/>
  <c r="AM418" i="15"/>
  <c r="AL419" i="15"/>
  <c r="AM419" i="15"/>
  <c r="AL420" i="15"/>
  <c r="AM420" i="15"/>
  <c r="AL37" i="15"/>
  <c r="AM37" i="15"/>
  <c r="AL38" i="15"/>
  <c r="AM38" i="15"/>
  <c r="AL40" i="15"/>
  <c r="AM40" i="15"/>
  <c r="AL41" i="15"/>
  <c r="AM41" i="15"/>
  <c r="AL43" i="15"/>
  <c r="AM43" i="15"/>
  <c r="AL44" i="15"/>
  <c r="AM44" i="15"/>
  <c r="AL45" i="15"/>
  <c r="AM45" i="15"/>
  <c r="AL47" i="15"/>
  <c r="AM47" i="15"/>
  <c r="AL48" i="15"/>
  <c r="AM48" i="15"/>
  <c r="AL70" i="15"/>
  <c r="AM70" i="15"/>
  <c r="AL71" i="15"/>
  <c r="AM71" i="15"/>
  <c r="AL72" i="15"/>
  <c r="AM72" i="15"/>
  <c r="AL73" i="15"/>
  <c r="AM73" i="15"/>
  <c r="AL74" i="15"/>
  <c r="AM74" i="15"/>
  <c r="AL75" i="15"/>
  <c r="AM75" i="15"/>
  <c r="AL77" i="15"/>
  <c r="AM77" i="15"/>
  <c r="AL78" i="15"/>
  <c r="AM78" i="15"/>
  <c r="AL99" i="15"/>
  <c r="AM99" i="15"/>
  <c r="AL100" i="15"/>
  <c r="AM100" i="15"/>
  <c r="AL101" i="15"/>
  <c r="AM101" i="15"/>
  <c r="AL102" i="15"/>
  <c r="AM102" i="15"/>
  <c r="AL103" i="15"/>
  <c r="AM103" i="15"/>
  <c r="AL104" i="15"/>
  <c r="AM104" i="15"/>
  <c r="AL105" i="15"/>
  <c r="AM105" i="15"/>
  <c r="AL106" i="15"/>
  <c r="AM106" i="15"/>
  <c r="AL111" i="15"/>
  <c r="AM111" i="15"/>
  <c r="AL117" i="15"/>
  <c r="AM117" i="15"/>
  <c r="AL120" i="15"/>
  <c r="AM120" i="15"/>
  <c r="AL151" i="15"/>
  <c r="AM151" i="15"/>
  <c r="AL158" i="15"/>
  <c r="AM158" i="15"/>
  <c r="AL159" i="15"/>
  <c r="AM159" i="15"/>
  <c r="AL185" i="15"/>
  <c r="AM185" i="15"/>
  <c r="AL374" i="15"/>
  <c r="AM374" i="15"/>
  <c r="AL378" i="15"/>
  <c r="AM378" i="15"/>
  <c r="AL380" i="15"/>
  <c r="AM380" i="15"/>
  <c r="AL393" i="15"/>
  <c r="AM393" i="15"/>
  <c r="AL416" i="15"/>
  <c r="AM416" i="15"/>
  <c r="AL435" i="15"/>
  <c r="AM435" i="15"/>
  <c r="AL436" i="15"/>
  <c r="AM436" i="15"/>
  <c r="AL15" i="15"/>
  <c r="AM15" i="15"/>
  <c r="AL19" i="15"/>
  <c r="AM19" i="15"/>
  <c r="AL21" i="15"/>
  <c r="AM21" i="15"/>
  <c r="AL23" i="15"/>
  <c r="AM23" i="15"/>
  <c r="AL25" i="15"/>
  <c r="AM25" i="15"/>
  <c r="AL36" i="15"/>
  <c r="AM36" i="15"/>
  <c r="AL39" i="15"/>
  <c r="AM39" i="15"/>
  <c r="AL42" i="15"/>
  <c r="AM42" i="15"/>
  <c r="AL52" i="15"/>
  <c r="AM52" i="15"/>
  <c r="AL56" i="15"/>
  <c r="AM56" i="15"/>
  <c r="AL58" i="15"/>
  <c r="AM58" i="15"/>
  <c r="AL68" i="15"/>
  <c r="AM68" i="15"/>
  <c r="AL119" i="15"/>
  <c r="AM119" i="15"/>
  <c r="AL122" i="15"/>
  <c r="AM122" i="15"/>
  <c r="AL123" i="15"/>
  <c r="AM123" i="15"/>
  <c r="AL126" i="15"/>
  <c r="AM126" i="15"/>
  <c r="AL134" i="15"/>
  <c r="AM134" i="15"/>
  <c r="AL137" i="15"/>
  <c r="AM137" i="15"/>
  <c r="AL141" i="15"/>
  <c r="AM141" i="15"/>
  <c r="AL143" i="15"/>
  <c r="AM143" i="15"/>
  <c r="AL154" i="15"/>
  <c r="AM154" i="15"/>
  <c r="AL156" i="15"/>
  <c r="AM156" i="15"/>
  <c r="AL164" i="15"/>
  <c r="AM164" i="15"/>
  <c r="AL165" i="15"/>
  <c r="AM165" i="15"/>
  <c r="AL166" i="15"/>
  <c r="AM166" i="15"/>
  <c r="AL168" i="15"/>
  <c r="AM168" i="15"/>
  <c r="AL192" i="15"/>
  <c r="AM192" i="15"/>
  <c r="AL194" i="15"/>
  <c r="AM194" i="15"/>
  <c r="AL195" i="15"/>
  <c r="AM195" i="15"/>
  <c r="AL196" i="15"/>
  <c r="AM196" i="15"/>
  <c r="AL197" i="15"/>
  <c r="AM197" i="15"/>
  <c r="AL198" i="15"/>
  <c r="AM198" i="15"/>
  <c r="AL199" i="15"/>
  <c r="AM199" i="15"/>
  <c r="AL200" i="15"/>
  <c r="AM200" i="15"/>
  <c r="AL201" i="15"/>
  <c r="AM201" i="15"/>
  <c r="AL202" i="15"/>
  <c r="AM202" i="15"/>
  <c r="AL204" i="15"/>
  <c r="AM204" i="15"/>
  <c r="AL205" i="15"/>
  <c r="AM205" i="15"/>
  <c r="AL220" i="15"/>
  <c r="AM220" i="15"/>
  <c r="AL227" i="15"/>
  <c r="AM227" i="15"/>
  <c r="AL228" i="15"/>
  <c r="AM228" i="15"/>
  <c r="AL229" i="15"/>
  <c r="AM229" i="15"/>
  <c r="AL230" i="15"/>
  <c r="AM230" i="15"/>
  <c r="AL231" i="15"/>
  <c r="AM231" i="15"/>
  <c r="AL232" i="15"/>
  <c r="AM232" i="15"/>
  <c r="AL235" i="15"/>
  <c r="AM235" i="15"/>
  <c r="AL236" i="15"/>
  <c r="AM236" i="15"/>
  <c r="AL238" i="15"/>
  <c r="AM238" i="15"/>
  <c r="AL239" i="15"/>
  <c r="AM239" i="15"/>
  <c r="AL240" i="15"/>
  <c r="AM240" i="15"/>
  <c r="AL241" i="15"/>
  <c r="AM241" i="15"/>
  <c r="AL242" i="15"/>
  <c r="AM242" i="15"/>
  <c r="AL243" i="15"/>
  <c r="AM243" i="15"/>
  <c r="AL244" i="15"/>
  <c r="AM244" i="15"/>
  <c r="AL245" i="15"/>
  <c r="AM245" i="15"/>
  <c r="AL318" i="15"/>
  <c r="AM318" i="15"/>
  <c r="AL321" i="15"/>
  <c r="AM321" i="15"/>
  <c r="AL322" i="15"/>
  <c r="AM322" i="15"/>
  <c r="AL323" i="15"/>
  <c r="AM323" i="15"/>
  <c r="AL324" i="15"/>
  <c r="AM324" i="15"/>
  <c r="AL329" i="15"/>
  <c r="AM329" i="15"/>
  <c r="AL332" i="15"/>
  <c r="AM332" i="15"/>
  <c r="AL333" i="15"/>
  <c r="AM333" i="15"/>
  <c r="AL334" i="15"/>
  <c r="AM334" i="15"/>
  <c r="AL337" i="15"/>
  <c r="AM337" i="15"/>
  <c r="AL338" i="15"/>
  <c r="AM338" i="15"/>
  <c r="AL339" i="15"/>
  <c r="AM339" i="15"/>
  <c r="AL340" i="15"/>
  <c r="AM340" i="15"/>
  <c r="AL364" i="15"/>
  <c r="AM364" i="15"/>
  <c r="AL367" i="15"/>
  <c r="AM367" i="15"/>
  <c r="AL368" i="15"/>
  <c r="AM368" i="15"/>
  <c r="AL369" i="15"/>
  <c r="AM369" i="15"/>
  <c r="AL430" i="15"/>
  <c r="AM430" i="15"/>
  <c r="AL431" i="15"/>
  <c r="AM431" i="15"/>
  <c r="AL434" i="15"/>
  <c r="AM434" i="15"/>
  <c r="AL443" i="15"/>
  <c r="AM443" i="15"/>
  <c r="AL463" i="15"/>
  <c r="AM463" i="15"/>
  <c r="AL464" i="15"/>
  <c r="AM464" i="15"/>
  <c r="AL471" i="15"/>
  <c r="AM471" i="15"/>
  <c r="AL475" i="15"/>
  <c r="AM475" i="15"/>
  <c r="AL169" i="15"/>
  <c r="AM169" i="15"/>
  <c r="AL170" i="15"/>
  <c r="AM170" i="15"/>
  <c r="AL171" i="15"/>
  <c r="AM171" i="15"/>
  <c r="AL172" i="15"/>
  <c r="AM172" i="15"/>
  <c r="AL219" i="15"/>
  <c r="AM219" i="15"/>
  <c r="AL225" i="15"/>
  <c r="AM225" i="15"/>
  <c r="AL258" i="15"/>
  <c r="AM258" i="15"/>
  <c r="AL270" i="15"/>
  <c r="AM270" i="15"/>
  <c r="AL290" i="15"/>
  <c r="AM290" i="15"/>
  <c r="AL300" i="15"/>
  <c r="AM300" i="15"/>
  <c r="AL310" i="15"/>
  <c r="AM310" i="15"/>
  <c r="AL381" i="15"/>
  <c r="AM381" i="15"/>
  <c r="AL429" i="15"/>
  <c r="AM429" i="15"/>
  <c r="AL437" i="15"/>
  <c r="AM437" i="15"/>
  <c r="AL466" i="15"/>
  <c r="AM466" i="15"/>
  <c r="AL486" i="15"/>
  <c r="AM486" i="15"/>
  <c r="AL150" i="15"/>
  <c r="AM150" i="15"/>
  <c r="AL162" i="15"/>
  <c r="AM162" i="15"/>
  <c r="AL163" i="15"/>
  <c r="AM163" i="15"/>
  <c r="AL167" i="15"/>
  <c r="AM167" i="15"/>
  <c r="AL187" i="15"/>
  <c r="AM187" i="15"/>
  <c r="AL188" i="15"/>
  <c r="AM188" i="15"/>
  <c r="AL189" i="15"/>
  <c r="AM189" i="15"/>
  <c r="AL317" i="15"/>
  <c r="AM317" i="15"/>
  <c r="AL391" i="15"/>
  <c r="AM391" i="15"/>
  <c r="AL432" i="15"/>
  <c r="AM432" i="15"/>
  <c r="AL442" i="15"/>
  <c r="AM442" i="15"/>
  <c r="AL446" i="15"/>
  <c r="AM446" i="15"/>
  <c r="AL451" i="15"/>
  <c r="AM451" i="15"/>
  <c r="AL452" i="15"/>
  <c r="AM452" i="15"/>
  <c r="AL453" i="15"/>
  <c r="AM453" i="15"/>
  <c r="AL456" i="15"/>
  <c r="AM456" i="15"/>
  <c r="AL470" i="15"/>
  <c r="AM470" i="15"/>
  <c r="AL473" i="15"/>
  <c r="AM473" i="15"/>
  <c r="AL474" i="15"/>
  <c r="AM474" i="15"/>
  <c r="AL480" i="15"/>
  <c r="AM480" i="15"/>
  <c r="AL485" i="15"/>
  <c r="AM485" i="15"/>
  <c r="AL223" i="15"/>
  <c r="AM223" i="15"/>
  <c r="AL316" i="15"/>
  <c r="AM316" i="15"/>
  <c r="AL320" i="15"/>
  <c r="AM320" i="15"/>
  <c r="AL328" i="15"/>
  <c r="AM328" i="15"/>
  <c r="AL331" i="15"/>
  <c r="AM331" i="15"/>
  <c r="AL365" i="15"/>
  <c r="AM365" i="15"/>
  <c r="AL439" i="15"/>
  <c r="AM439" i="15"/>
  <c r="AL440" i="15"/>
  <c r="AM440" i="15"/>
  <c r="AL441" i="15"/>
  <c r="AM441" i="15"/>
  <c r="AL448" i="15"/>
  <c r="AM448" i="15"/>
  <c r="AL450" i="15"/>
  <c r="AM450" i="15"/>
  <c r="AL461" i="15"/>
  <c r="AM461" i="15"/>
  <c r="AL465" i="15"/>
  <c r="AM465" i="15"/>
  <c r="AL478" i="15"/>
  <c r="AM478" i="15"/>
  <c r="AL488" i="15"/>
  <c r="AM488" i="15"/>
  <c r="AL433" i="15"/>
  <c r="AM433" i="15"/>
  <c r="AL447" i="15"/>
  <c r="AM447" i="15"/>
  <c r="AL458" i="15"/>
  <c r="AM458" i="15"/>
  <c r="AL459" i="15"/>
  <c r="AM459" i="15"/>
  <c r="AL467" i="15"/>
  <c r="AM467" i="15"/>
  <c r="AL487" i="15"/>
  <c r="AM487" i="15"/>
  <c r="AL428" i="15"/>
  <c r="AM428" i="15"/>
  <c r="AL454" i="15"/>
  <c r="AM454" i="15"/>
  <c r="AL462" i="15"/>
  <c r="AM462" i="15"/>
  <c r="AL469" i="15"/>
  <c r="AM469" i="15"/>
  <c r="AL472" i="15"/>
  <c r="AM472" i="15"/>
  <c r="AL173" i="15"/>
  <c r="AM173" i="15"/>
  <c r="AL174" i="15"/>
  <c r="AM174" i="15"/>
  <c r="AL175" i="15"/>
  <c r="AM175" i="15"/>
  <c r="AL176" i="15"/>
  <c r="AM176" i="15"/>
  <c r="AL177" i="15"/>
  <c r="AM177" i="15"/>
  <c r="AL178" i="15"/>
  <c r="AM178" i="15"/>
  <c r="AL438" i="15"/>
  <c r="AM438" i="15"/>
  <c r="AL444" i="15"/>
  <c r="AM444" i="15"/>
  <c r="AL445" i="15"/>
  <c r="AM445" i="15"/>
  <c r="AL449" i="15"/>
  <c r="AM449" i="15"/>
  <c r="AL457" i="15"/>
  <c r="AM457" i="15"/>
  <c r="AL460" i="15"/>
  <c r="AM460" i="15"/>
  <c r="AL476" i="15"/>
  <c r="AM476" i="15"/>
  <c r="AL477" i="15"/>
  <c r="AM477" i="15"/>
  <c r="AL479" i="15"/>
  <c r="AM479" i="15"/>
  <c r="AL481" i="15"/>
  <c r="AM481" i="15"/>
  <c r="AL482" i="15"/>
  <c r="AM482" i="15"/>
  <c r="AL483" i="15"/>
  <c r="AM483" i="15"/>
  <c r="AL484" i="15"/>
  <c r="AM484" i="15"/>
  <c r="AL468" i="15"/>
  <c r="AM468" i="15"/>
  <c r="AL388" i="15"/>
  <c r="AM388" i="15"/>
  <c r="AL389" i="15"/>
  <c r="AM389" i="15"/>
  <c r="AL455" i="15"/>
  <c r="AM455" i="15"/>
  <c r="AL132" i="15"/>
  <c r="AM132" i="15"/>
  <c r="AL221" i="15"/>
  <c r="AM221" i="15"/>
  <c r="AL255" i="15"/>
  <c r="AM255" i="15"/>
  <c r="AL267" i="15"/>
  <c r="AM267" i="15"/>
  <c r="AL286" i="15"/>
  <c r="AM286" i="15"/>
  <c r="AL287" i="15"/>
  <c r="AM287" i="15"/>
  <c r="AL311" i="15"/>
  <c r="AM311" i="15"/>
  <c r="AL312" i="15"/>
  <c r="AM312" i="15"/>
  <c r="AL313" i="15"/>
  <c r="AM313" i="15"/>
  <c r="AL390" i="15"/>
  <c r="AM390" i="15"/>
  <c r="AM497" i="15"/>
  <c r="AL497" i="15"/>
  <c r="AE135" i="16"/>
  <c r="E34" i="10"/>
  <c r="G15" i="10"/>
  <c r="H15" i="10"/>
  <c r="I15" i="10"/>
  <c r="G16" i="10"/>
  <c r="H16" i="10"/>
  <c r="I16" i="10"/>
  <c r="G17" i="10"/>
  <c r="H17" i="10"/>
  <c r="I17" i="10"/>
  <c r="G18" i="10"/>
  <c r="H18" i="10"/>
  <c r="I18" i="10"/>
  <c r="G19" i="10"/>
  <c r="H19" i="10"/>
  <c r="I19" i="10"/>
  <c r="G20" i="10"/>
  <c r="H20" i="10"/>
  <c r="I20" i="10"/>
  <c r="G21" i="10"/>
  <c r="H21" i="10"/>
  <c r="I21" i="10"/>
  <c r="G22" i="10"/>
  <c r="H22" i="10"/>
  <c r="I22" i="10"/>
  <c r="G23" i="10"/>
  <c r="H23" i="10"/>
  <c r="I23" i="10"/>
  <c r="G24" i="10"/>
  <c r="H24" i="10"/>
  <c r="I24" i="10"/>
  <c r="G25" i="10"/>
  <c r="H25" i="10"/>
  <c r="I25" i="10"/>
  <c r="G26" i="10"/>
  <c r="H26" i="10"/>
  <c r="I26" i="10"/>
  <c r="G27" i="10"/>
  <c r="H27" i="10"/>
  <c r="I27" i="10"/>
  <c r="G28" i="10"/>
  <c r="H28" i="10"/>
  <c r="I28" i="10"/>
  <c r="G29" i="10"/>
  <c r="H29" i="10"/>
  <c r="I29" i="10"/>
  <c r="G30" i="10"/>
  <c r="H30" i="10"/>
  <c r="I30" i="10"/>
  <c r="G31" i="10"/>
  <c r="H31" i="10"/>
  <c r="I31" i="10"/>
  <c r="G32" i="10"/>
  <c r="H32" i="10"/>
  <c r="I32" i="10"/>
  <c r="G33" i="10"/>
  <c r="H33" i="10"/>
  <c r="I33" i="10"/>
  <c r="G34" i="10"/>
  <c r="H34" i="10"/>
  <c r="I34" i="10"/>
  <c r="F17" i="10"/>
  <c r="F18" i="10"/>
  <c r="F19" i="10"/>
  <c r="F20" i="10"/>
  <c r="F21" i="10"/>
  <c r="F22" i="10"/>
  <c r="F23" i="10"/>
  <c r="F24" i="10"/>
  <c r="F25" i="10"/>
  <c r="F26" i="10"/>
  <c r="F27" i="10"/>
  <c r="F28" i="10"/>
  <c r="F29" i="10"/>
  <c r="F30" i="10"/>
  <c r="F31" i="10"/>
  <c r="F32" i="10"/>
  <c r="F33" i="10"/>
  <c r="F34" i="10"/>
  <c r="F16" i="10"/>
  <c r="F15" i="10"/>
  <c r="D15" i="10"/>
  <c r="Q109" i="8"/>
  <c r="Q97" i="8"/>
  <c r="Q85" i="8"/>
  <c r="Q73" i="8"/>
  <c r="Q13" i="7"/>
  <c r="AF135" i="16"/>
  <c r="BC521" i="15"/>
  <c r="BD521" i="15"/>
  <c r="BC522" i="15"/>
  <c r="BD522" i="15"/>
  <c r="BC523" i="15"/>
  <c r="BD523" i="15"/>
  <c r="BC524" i="15"/>
  <c r="BD524" i="15"/>
  <c r="BC525" i="15"/>
  <c r="BD525" i="15"/>
  <c r="BC526" i="15"/>
  <c r="BD526" i="15"/>
  <c r="BC527" i="15"/>
  <c r="BD527" i="15"/>
  <c r="BC528" i="15"/>
  <c r="BD528" i="15"/>
  <c r="BC529" i="15"/>
  <c r="BD529" i="15"/>
  <c r="BC530" i="15"/>
  <c r="BD530" i="15"/>
  <c r="BC531" i="15"/>
  <c r="BD531" i="15"/>
  <c r="BC532" i="15"/>
  <c r="BD532" i="15"/>
  <c r="BC533" i="15"/>
  <c r="BD533" i="15"/>
  <c r="BC534" i="15"/>
  <c r="BD534" i="15"/>
  <c r="AT513" i="15"/>
  <c r="AV513" i="15" s="1"/>
  <c r="AM513" i="15" s="1"/>
  <c r="AT512" i="15"/>
  <c r="AV512" i="15" s="1"/>
  <c r="AJ512" i="15"/>
  <c r="AK512" i="15"/>
  <c r="AJ513" i="15"/>
  <c r="AK513" i="15"/>
  <c r="P99" i="8"/>
  <c r="P100" i="8"/>
  <c r="P101" i="8"/>
  <c r="P102" i="8"/>
  <c r="P103" i="8"/>
  <c r="P104" i="8"/>
  <c r="P105" i="8"/>
  <c r="P106" i="8"/>
  <c r="P107" i="8"/>
  <c r="P108" i="8"/>
  <c r="P109" i="8"/>
  <c r="AN82" i="16"/>
  <c r="AM81" i="16"/>
  <c r="O97" i="8"/>
  <c r="AM82" i="16"/>
  <c r="AJ503" i="15"/>
  <c r="AK503" i="15"/>
  <c r="AK504" i="15"/>
  <c r="AJ505" i="15"/>
  <c r="AK505" i="15"/>
  <c r="AJ506" i="15"/>
  <c r="AK506" i="15"/>
  <c r="AJ507" i="15"/>
  <c r="AK507" i="15"/>
  <c r="AK508" i="15"/>
  <c r="AJ509" i="15"/>
  <c r="AK509" i="15"/>
  <c r="AJ510" i="15"/>
  <c r="AK510" i="15"/>
  <c r="AJ511" i="15"/>
  <c r="AK511" i="15"/>
  <c r="AJ501" i="15"/>
  <c r="AJ502" i="15"/>
  <c r="AK502" i="15"/>
  <c r="AJ489" i="15"/>
  <c r="AK489" i="15"/>
  <c r="AJ490" i="15"/>
  <c r="AK490" i="15"/>
  <c r="AJ491" i="15"/>
  <c r="AK491" i="15"/>
  <c r="AJ492" i="15"/>
  <c r="AK492" i="15"/>
  <c r="AJ493" i="15"/>
  <c r="AK493" i="15"/>
  <c r="AJ494" i="15"/>
  <c r="AK494" i="15"/>
  <c r="AJ495" i="15"/>
  <c r="AK495" i="15"/>
  <c r="AJ496" i="15"/>
  <c r="AK496" i="15"/>
  <c r="AJ497" i="15"/>
  <c r="AK497" i="15"/>
  <c r="AJ498" i="15"/>
  <c r="AK498" i="15"/>
  <c r="AJ499" i="15"/>
  <c r="AK499" i="15"/>
  <c r="AJ500" i="15"/>
  <c r="AJ428" i="15"/>
  <c r="AK428" i="15"/>
  <c r="AJ429" i="15"/>
  <c r="AK429" i="15"/>
  <c r="AJ430" i="15"/>
  <c r="AK430" i="15"/>
  <c r="AJ431" i="15"/>
  <c r="AK431" i="15"/>
  <c r="AJ432" i="15"/>
  <c r="AK432" i="15"/>
  <c r="AJ433" i="15"/>
  <c r="AK433" i="15"/>
  <c r="AJ434" i="15"/>
  <c r="AK434" i="15"/>
  <c r="AJ435" i="15"/>
  <c r="AK435" i="15"/>
  <c r="AJ436" i="15"/>
  <c r="AK436" i="15"/>
  <c r="AJ437" i="15"/>
  <c r="AK437" i="15"/>
  <c r="AJ438" i="15"/>
  <c r="AK438" i="15"/>
  <c r="AJ439" i="15"/>
  <c r="AK439" i="15"/>
  <c r="AJ440" i="15"/>
  <c r="AK440" i="15"/>
  <c r="AJ441" i="15"/>
  <c r="AK441" i="15"/>
  <c r="AJ442" i="15"/>
  <c r="AK442" i="15"/>
  <c r="AJ443" i="15"/>
  <c r="AK443" i="15"/>
  <c r="AJ444" i="15"/>
  <c r="AK444" i="15"/>
  <c r="AJ445" i="15"/>
  <c r="AK445" i="15"/>
  <c r="AJ446" i="15"/>
  <c r="AK446" i="15"/>
  <c r="AJ447" i="15"/>
  <c r="AK447" i="15"/>
  <c r="AJ448" i="15"/>
  <c r="AK448" i="15"/>
  <c r="AJ449" i="15"/>
  <c r="AK449" i="15"/>
  <c r="AJ450" i="15"/>
  <c r="AK450" i="15"/>
  <c r="AJ451" i="15"/>
  <c r="AK451" i="15"/>
  <c r="AJ452" i="15"/>
  <c r="AK452" i="15"/>
  <c r="AJ453" i="15"/>
  <c r="AK453" i="15"/>
  <c r="AJ454" i="15"/>
  <c r="AK454" i="15"/>
  <c r="AJ455" i="15"/>
  <c r="AK455" i="15"/>
  <c r="AJ456" i="15"/>
  <c r="AK456" i="15"/>
  <c r="AJ457" i="15"/>
  <c r="AK457" i="15"/>
  <c r="AJ458" i="15"/>
  <c r="AK458" i="15"/>
  <c r="AJ459" i="15"/>
  <c r="AK459" i="15"/>
  <c r="AJ460" i="15"/>
  <c r="AK460" i="15"/>
  <c r="AJ461" i="15"/>
  <c r="AK461" i="15"/>
  <c r="AJ462" i="15"/>
  <c r="AK462" i="15"/>
  <c r="AJ463" i="15"/>
  <c r="AK463" i="15"/>
  <c r="AJ464" i="15"/>
  <c r="AK464" i="15"/>
  <c r="AJ465" i="15"/>
  <c r="AK465" i="15"/>
  <c r="AJ466" i="15"/>
  <c r="AK466" i="15"/>
  <c r="AJ467" i="15"/>
  <c r="AK467" i="15"/>
  <c r="AJ468" i="15"/>
  <c r="AK468" i="15"/>
  <c r="AJ469" i="15"/>
  <c r="AK469" i="15"/>
  <c r="AJ470" i="15"/>
  <c r="AK470" i="15"/>
  <c r="AJ471" i="15"/>
  <c r="AK471" i="15"/>
  <c r="AJ472" i="15"/>
  <c r="AK472" i="15"/>
  <c r="AJ473" i="15"/>
  <c r="AK473" i="15"/>
  <c r="AJ474" i="15"/>
  <c r="AK474" i="15"/>
  <c r="AJ475" i="15"/>
  <c r="AK475" i="15"/>
  <c r="AJ476" i="15"/>
  <c r="AK476" i="15"/>
  <c r="AJ477" i="15"/>
  <c r="AK477" i="15"/>
  <c r="AJ478" i="15"/>
  <c r="AK478" i="15"/>
  <c r="AJ479" i="15"/>
  <c r="AK479" i="15"/>
  <c r="AJ480" i="15"/>
  <c r="AK480" i="15"/>
  <c r="AJ481" i="15"/>
  <c r="AK481" i="15"/>
  <c r="AJ482" i="15"/>
  <c r="AK482" i="15"/>
  <c r="AJ483" i="15"/>
  <c r="AK483" i="15"/>
  <c r="AJ484" i="15"/>
  <c r="AK484" i="15"/>
  <c r="AJ485" i="15"/>
  <c r="AK485" i="15"/>
  <c r="AJ486" i="15"/>
  <c r="AK486" i="15"/>
  <c r="AJ487" i="15"/>
  <c r="AK487" i="15"/>
  <c r="AJ488" i="15"/>
  <c r="AK488" i="15"/>
  <c r="AJ395" i="15"/>
  <c r="AK395" i="15"/>
  <c r="AJ396" i="15"/>
  <c r="AK396" i="15"/>
  <c r="AJ397" i="15"/>
  <c r="AK397" i="15"/>
  <c r="AJ398" i="15"/>
  <c r="AK398" i="15"/>
  <c r="AJ399" i="15"/>
  <c r="AK399" i="15"/>
  <c r="AJ400" i="15"/>
  <c r="AK400" i="15"/>
  <c r="AJ401" i="15"/>
  <c r="AK401" i="15"/>
  <c r="AJ402" i="15"/>
  <c r="AK402" i="15"/>
  <c r="AJ403" i="15"/>
  <c r="AK403" i="15"/>
  <c r="AJ404" i="15"/>
  <c r="AK404" i="15"/>
  <c r="AJ405" i="15"/>
  <c r="AK405" i="15"/>
  <c r="AJ406" i="15"/>
  <c r="AK406" i="15"/>
  <c r="AJ407" i="15"/>
  <c r="AK407" i="15"/>
  <c r="AJ408" i="15"/>
  <c r="AK408" i="15"/>
  <c r="AJ409" i="15"/>
  <c r="AK409" i="15"/>
  <c r="AJ410" i="15"/>
  <c r="AK410" i="15"/>
  <c r="AJ411" i="15"/>
  <c r="AK411" i="15"/>
  <c r="AJ412" i="15"/>
  <c r="AK412" i="15"/>
  <c r="AJ413" i="15"/>
  <c r="AK413" i="15"/>
  <c r="AJ414" i="15"/>
  <c r="AK414" i="15"/>
  <c r="AJ415" i="15"/>
  <c r="AK415" i="15"/>
  <c r="AJ416" i="15"/>
  <c r="AK416" i="15"/>
  <c r="AJ417" i="15"/>
  <c r="AK417" i="15"/>
  <c r="AJ418" i="15"/>
  <c r="AK418" i="15"/>
  <c r="AJ419" i="15"/>
  <c r="AK419" i="15"/>
  <c r="AJ420" i="15"/>
  <c r="AK420" i="15"/>
  <c r="AJ421" i="15"/>
  <c r="AK421" i="15"/>
  <c r="AJ422" i="15"/>
  <c r="AK422" i="15"/>
  <c r="AJ423" i="15"/>
  <c r="AK423" i="15"/>
  <c r="AJ424" i="15"/>
  <c r="AK424" i="15"/>
  <c r="AJ425" i="15"/>
  <c r="AK425" i="15"/>
  <c r="AJ426" i="15"/>
  <c r="AK426" i="15"/>
  <c r="AJ427" i="15"/>
  <c r="AK427" i="15"/>
  <c r="AJ391" i="15"/>
  <c r="AK391" i="15"/>
  <c r="AJ392" i="15"/>
  <c r="AK392" i="15"/>
  <c r="AJ393" i="15"/>
  <c r="AK393" i="15"/>
  <c r="AJ394" i="15"/>
  <c r="AK394" i="15"/>
  <c r="AB77" i="16"/>
  <c r="AD77" i="16" s="1"/>
  <c r="AM77" i="16" s="1"/>
  <c r="AB79" i="16"/>
  <c r="AD79" i="16" s="1"/>
  <c r="AM79" i="16" s="1"/>
  <c r="AC77" i="16"/>
  <c r="AE77" i="16" s="1"/>
  <c r="AN77" i="16" s="1"/>
  <c r="AB78" i="16"/>
  <c r="AD78" i="16" s="1"/>
  <c r="AM78" i="16" s="1"/>
  <c r="AB76" i="16"/>
  <c r="AD76" i="16" s="1"/>
  <c r="AM76" i="16" s="1"/>
  <c r="AC79" i="16"/>
  <c r="AE79" i="16" s="1"/>
  <c r="AN79" i="16" s="1"/>
  <c r="AC78" i="16"/>
  <c r="AE78" i="16" s="1"/>
  <c r="AN78" i="16" s="1"/>
  <c r="AC76" i="16"/>
  <c r="AE76" i="16" s="1"/>
  <c r="AN76" i="16" s="1"/>
  <c r="AB75" i="16"/>
  <c r="AD75" i="16" s="1"/>
  <c r="AM75" i="16" s="1"/>
  <c r="AC75" i="16"/>
  <c r="AE75" i="16" s="1"/>
  <c r="AN75" i="16" s="1"/>
  <c r="AB73" i="16"/>
  <c r="AD73" i="16" s="1"/>
  <c r="AM73" i="16" s="1"/>
  <c r="AC73" i="16"/>
  <c r="AE73" i="16" s="1"/>
  <c r="AN73" i="16" s="1"/>
  <c r="AB74" i="16"/>
  <c r="AD74" i="16" s="1"/>
  <c r="AM74" i="16" s="1"/>
  <c r="AC74" i="16"/>
  <c r="AE74" i="16" s="1"/>
  <c r="AN74" i="16" s="1"/>
  <c r="AJ390" i="15"/>
  <c r="AK390" i="15"/>
  <c r="AJ373" i="15"/>
  <c r="AK373" i="15"/>
  <c r="AJ374" i="15"/>
  <c r="AK374" i="15"/>
  <c r="AJ375" i="15"/>
  <c r="AK375" i="15"/>
  <c r="AJ376" i="15"/>
  <c r="AK376" i="15"/>
  <c r="AJ377" i="15"/>
  <c r="AK377" i="15"/>
  <c r="AJ378" i="15"/>
  <c r="AK378" i="15"/>
  <c r="AJ379" i="15"/>
  <c r="AK379" i="15"/>
  <c r="AJ380" i="15"/>
  <c r="AK380" i="15"/>
  <c r="AJ381" i="15"/>
  <c r="AK381" i="15"/>
  <c r="AJ382" i="15"/>
  <c r="AK382" i="15"/>
  <c r="AJ383" i="15"/>
  <c r="AK383" i="15"/>
  <c r="AJ384" i="15"/>
  <c r="AK384" i="15"/>
  <c r="AJ385" i="15"/>
  <c r="AK385" i="15"/>
  <c r="AJ386" i="15"/>
  <c r="AK386" i="15"/>
  <c r="AJ387" i="15"/>
  <c r="AK387" i="15"/>
  <c r="AJ388" i="15"/>
  <c r="AK388" i="15"/>
  <c r="AJ389" i="15"/>
  <c r="AK389" i="15"/>
  <c r="BC535" i="15"/>
  <c r="BD535" i="15"/>
  <c r="BC536" i="15"/>
  <c r="BD536" i="15"/>
  <c r="BC537" i="15"/>
  <c r="BD537" i="15"/>
  <c r="BC538" i="15"/>
  <c r="BD538" i="15"/>
  <c r="AJ173" i="15"/>
  <c r="AK173" i="15"/>
  <c r="AJ174" i="15"/>
  <c r="AK174" i="15"/>
  <c r="AJ175" i="15"/>
  <c r="AK175" i="15"/>
  <c r="AJ176" i="15"/>
  <c r="AK176" i="15"/>
  <c r="AJ177" i="15"/>
  <c r="AK177" i="15"/>
  <c r="AJ178" i="15"/>
  <c r="AK178" i="15"/>
  <c r="AJ370" i="15"/>
  <c r="AK370" i="15"/>
  <c r="AJ371" i="15"/>
  <c r="AK371" i="15"/>
  <c r="AJ372" i="15"/>
  <c r="AK372" i="15"/>
  <c r="J13" i="9"/>
  <c r="N13" i="7" s="1"/>
  <c r="T7" i="16"/>
  <c r="Y43" i="16"/>
  <c r="AC43" i="16" s="1"/>
  <c r="AE43" i="16" s="1"/>
  <c r="AN43" i="16" s="1"/>
  <c r="AG318" i="15"/>
  <c r="AK318" i="15" s="1"/>
  <c r="AG183" i="15"/>
  <c r="AG156" i="15"/>
  <c r="AK156" i="15" s="1"/>
  <c r="AG164" i="15"/>
  <c r="AK164" i="15" s="1"/>
  <c r="AG153" i="15"/>
  <c r="AK153" i="15" s="1"/>
  <c r="AG127" i="15"/>
  <c r="AJ127" i="15" s="1"/>
  <c r="AG134" i="15"/>
  <c r="AJ134" i="15" s="1"/>
  <c r="AG138" i="15"/>
  <c r="AK138" i="15" s="1"/>
  <c r="AG87" i="15"/>
  <c r="AJ87" i="15" s="1"/>
  <c r="AG70" i="15"/>
  <c r="AK70" i="15" s="1"/>
  <c r="AG35" i="15"/>
  <c r="AK35" i="15" s="1"/>
  <c r="AG112" i="15"/>
  <c r="AK112" i="15" s="1"/>
  <c r="AG103" i="15"/>
  <c r="AR7" i="15"/>
  <c r="I17" i="8"/>
  <c r="I18" i="8"/>
  <c r="I19" i="8"/>
  <c r="I20" i="8"/>
  <c r="I21" i="8"/>
  <c r="P21" i="8" s="1"/>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P85" i="8" s="1"/>
  <c r="I94" i="8"/>
  <c r="I95" i="8"/>
  <c r="I96" i="8"/>
  <c r="I97" i="8"/>
  <c r="I98" i="8"/>
  <c r="R109" i="8" s="1"/>
  <c r="I15" i="8"/>
  <c r="I16" i="8"/>
  <c r="I14" i="8"/>
  <c r="G18" i="8"/>
  <c r="P18" i="8" s="1"/>
  <c r="G19" i="8"/>
  <c r="G20" i="8"/>
  <c r="G21" i="8"/>
  <c r="G22" i="8"/>
  <c r="G23" i="8"/>
  <c r="G24" i="8"/>
  <c r="G25" i="8"/>
  <c r="P25" i="8" s="1"/>
  <c r="G26" i="8"/>
  <c r="P26" i="8" s="1"/>
  <c r="G27" i="8"/>
  <c r="G28" i="8"/>
  <c r="G29" i="8"/>
  <c r="G30" i="8"/>
  <c r="G31" i="8"/>
  <c r="G32" i="8"/>
  <c r="G33" i="8"/>
  <c r="P33" i="8"/>
  <c r="G34" i="8"/>
  <c r="P34" i="8" s="1"/>
  <c r="G35" i="8"/>
  <c r="G36" i="8"/>
  <c r="G37" i="8"/>
  <c r="G38" i="8"/>
  <c r="G39" i="8"/>
  <c r="P39" i="8" s="1"/>
  <c r="G40" i="8"/>
  <c r="G41" i="8"/>
  <c r="P41" i="8" s="1"/>
  <c r="G42" i="8"/>
  <c r="P42" i="8" s="1"/>
  <c r="G43" i="8"/>
  <c r="G44" i="8"/>
  <c r="G45" i="8"/>
  <c r="G46" i="8"/>
  <c r="G47" i="8"/>
  <c r="G48" i="8"/>
  <c r="G49" i="8"/>
  <c r="P49" i="8" s="1"/>
  <c r="G50" i="8"/>
  <c r="P50" i="8" s="1"/>
  <c r="G51" i="8"/>
  <c r="G52" i="8"/>
  <c r="G53" i="8"/>
  <c r="G54" i="8"/>
  <c r="G55" i="8"/>
  <c r="P55" i="8" s="1"/>
  <c r="G56" i="8"/>
  <c r="G57" i="8"/>
  <c r="P57" i="8" s="1"/>
  <c r="G58" i="8"/>
  <c r="P58" i="8" s="1"/>
  <c r="G59" i="8"/>
  <c r="G60" i="8"/>
  <c r="G61" i="8"/>
  <c r="G62" i="8"/>
  <c r="G63" i="8"/>
  <c r="G64" i="8"/>
  <c r="P64" i="8" s="1"/>
  <c r="G65" i="8"/>
  <c r="P65" i="8" s="1"/>
  <c r="G66" i="8"/>
  <c r="P66" i="8" s="1"/>
  <c r="G67" i="8"/>
  <c r="P67" i="8"/>
  <c r="G68" i="8"/>
  <c r="G69" i="8"/>
  <c r="G70" i="8"/>
  <c r="G71" i="8"/>
  <c r="G72" i="8"/>
  <c r="G73" i="8"/>
  <c r="G74" i="8"/>
  <c r="P74" i="8" s="1"/>
  <c r="G75" i="8"/>
  <c r="P75" i="8" s="1"/>
  <c r="G76" i="8"/>
  <c r="G77" i="8"/>
  <c r="G78" i="8"/>
  <c r="G79" i="8"/>
  <c r="P79" i="8" s="1"/>
  <c r="G80" i="8"/>
  <c r="G81" i="8"/>
  <c r="G82" i="8"/>
  <c r="P82" i="8" s="1"/>
  <c r="G83" i="8"/>
  <c r="P83" i="8" s="1"/>
  <c r="G84" i="8"/>
  <c r="G85" i="8"/>
  <c r="G86" i="8"/>
  <c r="H86" i="8"/>
  <c r="G87" i="8"/>
  <c r="H87" i="8"/>
  <c r="I87" i="8" s="1"/>
  <c r="G88" i="8"/>
  <c r="G89" i="8"/>
  <c r="G90" i="8"/>
  <c r="G91" i="8"/>
  <c r="G92" i="8"/>
  <c r="G93" i="8"/>
  <c r="H93" i="8"/>
  <c r="I93" i="8" s="1"/>
  <c r="G94" i="8"/>
  <c r="G95" i="8"/>
  <c r="P95" i="8" s="1"/>
  <c r="G96" i="8"/>
  <c r="G97" i="8"/>
  <c r="P98" i="8"/>
  <c r="G16" i="8"/>
  <c r="G17" i="8"/>
  <c r="P17" i="8" s="1"/>
  <c r="G15" i="8"/>
  <c r="P15" i="8" s="1"/>
  <c r="O100" i="8"/>
  <c r="O101" i="8"/>
  <c r="O102" i="8"/>
  <c r="O103" i="8"/>
  <c r="O104" i="8"/>
  <c r="O105" i="8"/>
  <c r="O106" i="8"/>
  <c r="O107" i="8"/>
  <c r="O108" i="8"/>
  <c r="O109"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8" i="8"/>
  <c r="O99" i="8"/>
  <c r="O14" i="8"/>
  <c r="G14" i="8"/>
  <c r="G134" i="8" s="1"/>
  <c r="H92" i="8"/>
  <c r="I92" i="8" s="1"/>
  <c r="H91" i="8"/>
  <c r="I91" i="8" s="1"/>
  <c r="H90" i="8"/>
  <c r="I90" i="8" s="1"/>
  <c r="H89" i="8"/>
  <c r="I89" i="8"/>
  <c r="P89" i="8" s="1"/>
  <c r="H88" i="8"/>
  <c r="I88" i="8" s="1"/>
  <c r="P88" i="8" s="1"/>
  <c r="P71" i="8"/>
  <c r="AG332" i="15" l="1"/>
  <c r="AK332" i="15" s="1"/>
  <c r="AO332" i="15" s="1"/>
  <c r="BD332" i="15" s="1"/>
  <c r="AG43" i="15"/>
  <c r="AJ43" i="15" s="1"/>
  <c r="AN43" i="15" s="1"/>
  <c r="AG98" i="15"/>
  <c r="AK98" i="15" s="1"/>
  <c r="AO98" i="15" s="1"/>
  <c r="AQ98" i="15" s="1"/>
  <c r="AG361" i="15"/>
  <c r="AK361" i="15" s="1"/>
  <c r="AO361" i="15" s="1"/>
  <c r="BD361" i="15" s="1"/>
  <c r="AG90" i="15"/>
  <c r="AK90" i="15" s="1"/>
  <c r="AO90" i="15" s="1"/>
  <c r="AG305" i="15"/>
  <c r="AJ305" i="15" s="1"/>
  <c r="AN305" i="15" s="1"/>
  <c r="AG276" i="15"/>
  <c r="AK276" i="15" s="1"/>
  <c r="AO276" i="15" s="1"/>
  <c r="AQ276" i="15" s="1"/>
  <c r="AG268" i="15"/>
  <c r="AK268" i="15" s="1"/>
  <c r="AO268" i="15" s="1"/>
  <c r="AG212" i="15"/>
  <c r="AJ212" i="15" s="1"/>
  <c r="AN212" i="15" s="1"/>
  <c r="BC212" i="15" s="1"/>
  <c r="AG204" i="15"/>
  <c r="AG339" i="15"/>
  <c r="AK339" i="15" s="1"/>
  <c r="AO339" i="15" s="1"/>
  <c r="AQ339" i="15" s="1"/>
  <c r="AG331" i="15"/>
  <c r="AJ331" i="15" s="1"/>
  <c r="AN331" i="15" s="1"/>
  <c r="AP331" i="15" s="1"/>
  <c r="AG39" i="15"/>
  <c r="AJ39" i="15" s="1"/>
  <c r="AN39" i="15" s="1"/>
  <c r="AP39" i="15" s="1"/>
  <c r="AG297" i="15"/>
  <c r="AK297" i="15" s="1"/>
  <c r="AO297" i="15" s="1"/>
  <c r="AQ297" i="15" s="1"/>
  <c r="AG31" i="15"/>
  <c r="AK31" i="15" s="1"/>
  <c r="AO31" i="15" s="1"/>
  <c r="BD31" i="15" s="1"/>
  <c r="AG241" i="15"/>
  <c r="AK241" i="15" s="1"/>
  <c r="AO241" i="15" s="1"/>
  <c r="AQ241" i="15" s="1"/>
  <c r="AG19" i="15"/>
  <c r="AJ19" i="15" s="1"/>
  <c r="AN19" i="15" s="1"/>
  <c r="AP19" i="15" s="1"/>
  <c r="AG233" i="15"/>
  <c r="AJ233" i="15" s="1"/>
  <c r="AN233" i="15" s="1"/>
  <c r="AP233" i="15" s="1"/>
  <c r="AG44" i="15"/>
  <c r="AK44" i="15" s="1"/>
  <c r="AO44" i="15" s="1"/>
  <c r="AQ44" i="15" s="1"/>
  <c r="AG171" i="15"/>
  <c r="AK171" i="15" s="1"/>
  <c r="AO171" i="15" s="1"/>
  <c r="BD171" i="15" s="1"/>
  <c r="AG58" i="15"/>
  <c r="AJ58" i="15" s="1"/>
  <c r="AN58" i="15" s="1"/>
  <c r="AP58" i="15" s="1"/>
  <c r="AG368" i="15"/>
  <c r="AJ368" i="15" s="1"/>
  <c r="AN368" i="15" s="1"/>
  <c r="AP368" i="15" s="1"/>
  <c r="AG116" i="15"/>
  <c r="AJ116" i="15" s="1"/>
  <c r="AN116" i="15" s="1"/>
  <c r="BC116" i="15" s="1"/>
  <c r="AG312" i="15"/>
  <c r="AJ312" i="15" s="1"/>
  <c r="AN312" i="15" s="1"/>
  <c r="AP312" i="15" s="1"/>
  <c r="AG275" i="15"/>
  <c r="AJ275" i="15" s="1"/>
  <c r="AN275" i="15" s="1"/>
  <c r="AP275" i="15" s="1"/>
  <c r="AG247" i="15"/>
  <c r="AG191" i="15"/>
  <c r="AJ191" i="15" s="1"/>
  <c r="AN191" i="15" s="1"/>
  <c r="AP191" i="15" s="1"/>
  <c r="AG326" i="15"/>
  <c r="AJ326" i="15" s="1"/>
  <c r="AN326" i="15" s="1"/>
  <c r="AP326" i="15" s="1"/>
  <c r="AG114" i="15"/>
  <c r="AJ114" i="15" s="1"/>
  <c r="AN114" i="15" s="1"/>
  <c r="BC114" i="15" s="1"/>
  <c r="AG254" i="15"/>
  <c r="AJ254" i="15" s="1"/>
  <c r="AN254" i="15" s="1"/>
  <c r="AG262" i="15"/>
  <c r="AJ262" i="15" s="1"/>
  <c r="AN262" i="15" s="1"/>
  <c r="AP262" i="15" s="1"/>
  <c r="AG159" i="15"/>
  <c r="AJ159" i="15" s="1"/>
  <c r="AN159" i="15" s="1"/>
  <c r="BC159" i="15" s="1"/>
  <c r="AG42" i="15"/>
  <c r="AK42" i="15" s="1"/>
  <c r="AO42" i="15" s="1"/>
  <c r="AQ42" i="15" s="1"/>
  <c r="AG123" i="15"/>
  <c r="AK123" i="15" s="1"/>
  <c r="AO123" i="15" s="1"/>
  <c r="BD123" i="15" s="1"/>
  <c r="AG198" i="15"/>
  <c r="AJ198" i="15" s="1"/>
  <c r="AN198" i="15" s="1"/>
  <c r="AP198" i="15" s="1"/>
  <c r="AG28" i="15"/>
  <c r="AK28" i="15" s="1"/>
  <c r="AO28" i="15" s="1"/>
  <c r="AG12" i="15"/>
  <c r="AJ12" i="15" s="1"/>
  <c r="AN12" i="15" s="1"/>
  <c r="BC12" i="15" s="1"/>
  <c r="AG117" i="15"/>
  <c r="AJ117" i="15" s="1"/>
  <c r="AN117" i="15" s="1"/>
  <c r="BC117" i="15" s="1"/>
  <c r="AG304" i="15"/>
  <c r="AJ304" i="15" s="1"/>
  <c r="AN304" i="15" s="1"/>
  <c r="AP304" i="15" s="1"/>
  <c r="AG190" i="15"/>
  <c r="AG267" i="15"/>
  <c r="AJ267" i="15" s="1"/>
  <c r="AN267" i="15" s="1"/>
  <c r="AG66" i="15"/>
  <c r="AJ66" i="15" s="1"/>
  <c r="AN66" i="15" s="1"/>
  <c r="AP66" i="15" s="1"/>
  <c r="AG30" i="15"/>
  <c r="AJ30" i="15" s="1"/>
  <c r="AN30" i="15" s="1"/>
  <c r="AP30" i="15" s="1"/>
  <c r="AG362" i="15"/>
  <c r="AJ362" i="15" s="1"/>
  <c r="AN362" i="15" s="1"/>
  <c r="AG248" i="15"/>
  <c r="AG333" i="15"/>
  <c r="AJ333" i="15" s="1"/>
  <c r="AN333" i="15" s="1"/>
  <c r="AP333" i="15" s="1"/>
  <c r="AG211" i="15"/>
  <c r="AK211" i="15" s="1"/>
  <c r="AO211" i="15" s="1"/>
  <c r="BD211" i="15" s="1"/>
  <c r="AG52" i="15"/>
  <c r="AJ52" i="15" s="1"/>
  <c r="AN52" i="15" s="1"/>
  <c r="AG149" i="15"/>
  <c r="AJ149" i="15" s="1"/>
  <c r="AN149" i="15" s="1"/>
  <c r="BC149" i="15" s="1"/>
  <c r="AG354" i="15"/>
  <c r="AJ354" i="15" s="1"/>
  <c r="AN354" i="15" s="1"/>
  <c r="AG240" i="15"/>
  <c r="AJ240" i="15" s="1"/>
  <c r="AN240" i="15" s="1"/>
  <c r="BC240" i="15" s="1"/>
  <c r="AG325" i="15"/>
  <c r="AJ325" i="15" s="1"/>
  <c r="AN325" i="15" s="1"/>
  <c r="AP325" i="15" s="1"/>
  <c r="AG203" i="15"/>
  <c r="AJ203" i="15" s="1"/>
  <c r="AN203" i="15" s="1"/>
  <c r="AP203" i="15" s="1"/>
  <c r="AG84" i="15"/>
  <c r="AJ84" i="15" s="1"/>
  <c r="AN84" i="15" s="1"/>
  <c r="AG141" i="15"/>
  <c r="AJ141" i="15" s="1"/>
  <c r="AN141" i="15" s="1"/>
  <c r="AP141" i="15" s="1"/>
  <c r="AG298" i="15"/>
  <c r="AG184" i="15"/>
  <c r="AK184" i="15" s="1"/>
  <c r="AO184" i="15" s="1"/>
  <c r="AQ184" i="15" s="1"/>
  <c r="AG269" i="15"/>
  <c r="AG523" i="15"/>
  <c r="AG33" i="15"/>
  <c r="AK33" i="15" s="1"/>
  <c r="AO33" i="15" s="1"/>
  <c r="AQ33" i="15" s="1"/>
  <c r="AG131" i="15"/>
  <c r="AK131" i="15" s="1"/>
  <c r="AO131" i="15" s="1"/>
  <c r="AQ131" i="15" s="1"/>
  <c r="AG290" i="15"/>
  <c r="AK290" i="15" s="1"/>
  <c r="AO290" i="15" s="1"/>
  <c r="AG170" i="15"/>
  <c r="AK170" i="15" s="1"/>
  <c r="AO170" i="15" s="1"/>
  <c r="AG261" i="15"/>
  <c r="AK261" i="15" s="1"/>
  <c r="AO261" i="15" s="1"/>
  <c r="AQ261" i="15" s="1"/>
  <c r="AG530" i="15"/>
  <c r="AK331" i="15"/>
  <c r="AO331" i="15" s="1"/>
  <c r="AG25" i="15"/>
  <c r="AJ25" i="15" s="1"/>
  <c r="AN25" i="15" s="1"/>
  <c r="BC25" i="15" s="1"/>
  <c r="AG124" i="15"/>
  <c r="AK124" i="15" s="1"/>
  <c r="AO124" i="15" s="1"/>
  <c r="AG234" i="15"/>
  <c r="AJ234" i="15" s="1"/>
  <c r="AN234" i="15" s="1"/>
  <c r="AG319" i="15"/>
  <c r="AJ319" i="15" s="1"/>
  <c r="AN319" i="15" s="1"/>
  <c r="BC319" i="15" s="1"/>
  <c r="AG205" i="15"/>
  <c r="AK205" i="15" s="1"/>
  <c r="AO205" i="15" s="1"/>
  <c r="BD205" i="15" s="1"/>
  <c r="AG534" i="15"/>
  <c r="AG64" i="15"/>
  <c r="AJ64" i="15" s="1"/>
  <c r="AN64" i="15" s="1"/>
  <c r="AG160" i="15"/>
  <c r="AJ160" i="15" s="1"/>
  <c r="AN160" i="15" s="1"/>
  <c r="AP160" i="15" s="1"/>
  <c r="AG226" i="15"/>
  <c r="AJ226" i="15" s="1"/>
  <c r="AN226" i="15" s="1"/>
  <c r="AP226" i="15" s="1"/>
  <c r="AG311" i="15"/>
  <c r="AJ311" i="15" s="1"/>
  <c r="AN311" i="15" s="1"/>
  <c r="AP311" i="15" s="1"/>
  <c r="AG197" i="15"/>
  <c r="AJ197" i="15" s="1"/>
  <c r="AN197" i="15" s="1"/>
  <c r="AG526" i="15"/>
  <c r="AG80" i="15"/>
  <c r="AK80" i="15" s="1"/>
  <c r="AO80" i="15" s="1"/>
  <c r="BD80" i="15" s="1"/>
  <c r="AG56" i="15"/>
  <c r="AK56" i="15" s="1"/>
  <c r="AO56" i="15" s="1"/>
  <c r="BD56" i="15" s="1"/>
  <c r="AG158" i="15"/>
  <c r="AK158" i="15" s="1"/>
  <c r="AO158" i="15" s="1"/>
  <c r="BD158" i="15" s="1"/>
  <c r="AG369" i="15"/>
  <c r="AJ369" i="15" s="1"/>
  <c r="AN369" i="15" s="1"/>
  <c r="BC369" i="15" s="1"/>
  <c r="AG255" i="15"/>
  <c r="AJ255" i="15" s="1"/>
  <c r="AN255" i="15" s="1"/>
  <c r="AP255" i="15" s="1"/>
  <c r="AN501" i="15"/>
  <c r="AP501" i="15" s="1"/>
  <c r="AO407" i="15"/>
  <c r="BD407" i="15" s="1"/>
  <c r="AN386" i="15"/>
  <c r="BC386" i="15" s="1"/>
  <c r="AO507" i="15"/>
  <c r="AQ507" i="15" s="1"/>
  <c r="AN374" i="15"/>
  <c r="AP374" i="15" s="1"/>
  <c r="Y86" i="16"/>
  <c r="Y72" i="16"/>
  <c r="Y15" i="16"/>
  <c r="AB15" i="16" s="1"/>
  <c r="AD15" i="16" s="1"/>
  <c r="AM15" i="16" s="1"/>
  <c r="Y92" i="16"/>
  <c r="Y13" i="16"/>
  <c r="AB13" i="16" s="1"/>
  <c r="AD13" i="16" s="1"/>
  <c r="AM13" i="16" s="1"/>
  <c r="Y45" i="16"/>
  <c r="AB45" i="16" s="1"/>
  <c r="AD45" i="16" s="1"/>
  <c r="AM45" i="16" s="1"/>
  <c r="Y71" i="16"/>
  <c r="AC71" i="16" s="1"/>
  <c r="AE71" i="16" s="1"/>
  <c r="AN71" i="16" s="1"/>
  <c r="Y52" i="16"/>
  <c r="AC52" i="16" s="1"/>
  <c r="AE52" i="16" s="1"/>
  <c r="AN52" i="16" s="1"/>
  <c r="Y24" i="16"/>
  <c r="AB24" i="16" s="1"/>
  <c r="AD24" i="16" s="1"/>
  <c r="AM24" i="16" s="1"/>
  <c r="Y17" i="16"/>
  <c r="AB17" i="16" s="1"/>
  <c r="AD17" i="16" s="1"/>
  <c r="AM17" i="16" s="1"/>
  <c r="Y49" i="16"/>
  <c r="AB49" i="16" s="1"/>
  <c r="AD49" i="16" s="1"/>
  <c r="AM49" i="16" s="1"/>
  <c r="Y33" i="16"/>
  <c r="AC33" i="16" s="1"/>
  <c r="AE33" i="16" s="1"/>
  <c r="AN33" i="16" s="1"/>
  <c r="Y16" i="16"/>
  <c r="AC16" i="16" s="1"/>
  <c r="AE16" i="16" s="1"/>
  <c r="AN16" i="16" s="1"/>
  <c r="Y48" i="16"/>
  <c r="Y40" i="16"/>
  <c r="AC40" i="16" s="1"/>
  <c r="AE40" i="16" s="1"/>
  <c r="AN40" i="16" s="1"/>
  <c r="Y39" i="16"/>
  <c r="AC39" i="16" s="1"/>
  <c r="AE39" i="16" s="1"/>
  <c r="AN39" i="16" s="1"/>
  <c r="Y93" i="16"/>
  <c r="Y22" i="16"/>
  <c r="AC22" i="16" s="1"/>
  <c r="AE22" i="16" s="1"/>
  <c r="AN22" i="16" s="1"/>
  <c r="Y36" i="16"/>
  <c r="AB36" i="16" s="1"/>
  <c r="AD36" i="16" s="1"/>
  <c r="AM36" i="16" s="1"/>
  <c r="Y11" i="16"/>
  <c r="AC11" i="16" s="1"/>
  <c r="AE11" i="16" s="1"/>
  <c r="Y51" i="16"/>
  <c r="Y66" i="16"/>
  <c r="Y64" i="16"/>
  <c r="AB64" i="16" s="1"/>
  <c r="AD64" i="16" s="1"/>
  <c r="AM64" i="16" s="1"/>
  <c r="Y58" i="16"/>
  <c r="AB58" i="16" s="1"/>
  <c r="AD58" i="16" s="1"/>
  <c r="AM58" i="16" s="1"/>
  <c r="Y62" i="16"/>
  <c r="AB43" i="16"/>
  <c r="AD43" i="16" s="1"/>
  <c r="AM43" i="16" s="1"/>
  <c r="Y26" i="16"/>
  <c r="Y82" i="16"/>
  <c r="Y69" i="16"/>
  <c r="AB69" i="16" s="1"/>
  <c r="AD69" i="16" s="1"/>
  <c r="AM69" i="16" s="1"/>
  <c r="Y19" i="16"/>
  <c r="AC19" i="16" s="1"/>
  <c r="AE19" i="16" s="1"/>
  <c r="AN19" i="16" s="1"/>
  <c r="Y38" i="16"/>
  <c r="AB38" i="16" s="1"/>
  <c r="AD38" i="16" s="1"/>
  <c r="AM38" i="16" s="1"/>
  <c r="Y67" i="16"/>
  <c r="AC67" i="16" s="1"/>
  <c r="AE67" i="16" s="1"/>
  <c r="AN67" i="16" s="1"/>
  <c r="Y70" i="16"/>
  <c r="AB70" i="16" s="1"/>
  <c r="AD70" i="16" s="1"/>
  <c r="AM70" i="16" s="1"/>
  <c r="Y68" i="16"/>
  <c r="Y60" i="16"/>
  <c r="Y89" i="16"/>
  <c r="Y87" i="16"/>
  <c r="Y85" i="16"/>
  <c r="Y42" i="16"/>
  <c r="Y59" i="16"/>
  <c r="AK134" i="15"/>
  <c r="AO134" i="15" s="1"/>
  <c r="AJ31" i="15"/>
  <c r="AN31" i="15" s="1"/>
  <c r="AP31" i="15" s="1"/>
  <c r="AN412" i="15"/>
  <c r="BC412" i="15" s="1"/>
  <c r="AN492" i="15"/>
  <c r="AP492" i="15" s="1"/>
  <c r="AN417" i="15"/>
  <c r="BC417" i="15" s="1"/>
  <c r="AN397" i="15"/>
  <c r="BC397" i="15" s="1"/>
  <c r="AN463" i="15"/>
  <c r="AP463" i="15" s="1"/>
  <c r="AN451" i="15"/>
  <c r="AP451" i="15" s="1"/>
  <c r="AN385" i="15"/>
  <c r="AP385" i="15" s="1"/>
  <c r="AN404" i="15"/>
  <c r="BC404" i="15" s="1"/>
  <c r="AN400" i="15"/>
  <c r="AP400" i="15" s="1"/>
  <c r="AN396" i="15"/>
  <c r="AP396" i="15" s="1"/>
  <c r="AN373" i="15"/>
  <c r="BC373" i="15" s="1"/>
  <c r="AN490" i="15"/>
  <c r="AP490" i="15" s="1"/>
  <c r="AN87" i="15"/>
  <c r="AP87" i="15" s="1"/>
  <c r="AN134" i="15"/>
  <c r="BC134" i="15" s="1"/>
  <c r="AN411" i="15"/>
  <c r="BC411" i="15" s="1"/>
  <c r="AN407" i="15"/>
  <c r="AP407" i="15" s="1"/>
  <c r="AN485" i="15"/>
  <c r="BC485" i="15" s="1"/>
  <c r="AN429" i="15"/>
  <c r="BC429" i="15" s="1"/>
  <c r="AJ156" i="15"/>
  <c r="AN156" i="15" s="1"/>
  <c r="AP156" i="15" s="1"/>
  <c r="AK43" i="15"/>
  <c r="AO43" i="15" s="1"/>
  <c r="AO410" i="15"/>
  <c r="BD410" i="15" s="1"/>
  <c r="AO406" i="15"/>
  <c r="AQ406" i="15" s="1"/>
  <c r="AO488" i="15"/>
  <c r="AQ488" i="15" s="1"/>
  <c r="AO480" i="15"/>
  <c r="AQ480" i="15" s="1"/>
  <c r="AO456" i="15"/>
  <c r="AQ456" i="15" s="1"/>
  <c r="AO436" i="15"/>
  <c r="AQ436" i="15" s="1"/>
  <c r="AO177" i="15"/>
  <c r="BD177" i="15" s="1"/>
  <c r="AO173" i="15"/>
  <c r="BD173" i="15" s="1"/>
  <c r="AK369" i="15"/>
  <c r="AO369" i="15" s="1"/>
  <c r="AQ369" i="15" s="1"/>
  <c r="AJ247" i="15"/>
  <c r="AN247" i="15" s="1"/>
  <c r="BC247" i="15" s="1"/>
  <c r="AK247" i="15"/>
  <c r="AO247" i="15" s="1"/>
  <c r="AJ190" i="15"/>
  <c r="AN190" i="15" s="1"/>
  <c r="BC190" i="15" s="1"/>
  <c r="AK190" i="15"/>
  <c r="AO190" i="15" s="1"/>
  <c r="AQ190" i="15" s="1"/>
  <c r="AK226" i="15"/>
  <c r="AO226" i="15" s="1"/>
  <c r="BD226" i="15" s="1"/>
  <c r="AJ204" i="15"/>
  <c r="AN204" i="15" s="1"/>
  <c r="AP204" i="15" s="1"/>
  <c r="AK204" i="15"/>
  <c r="AO204" i="15" s="1"/>
  <c r="AQ204" i="15" s="1"/>
  <c r="AJ35" i="15"/>
  <c r="AN35" i="15" s="1"/>
  <c r="AG129" i="15"/>
  <c r="AG524" i="15"/>
  <c r="AG528" i="15"/>
  <c r="AG235" i="15"/>
  <c r="AG299" i="15"/>
  <c r="AG363" i="15"/>
  <c r="AJ363" i="15" s="1"/>
  <c r="AN363" i="15" s="1"/>
  <c r="BC363" i="15" s="1"/>
  <c r="AG236" i="15"/>
  <c r="AG300" i="15"/>
  <c r="AG364" i="15"/>
  <c r="AG229" i="15"/>
  <c r="AK229" i="15" s="1"/>
  <c r="AO229" i="15" s="1"/>
  <c r="AQ229" i="15" s="1"/>
  <c r="AG293" i="15"/>
  <c r="AG357" i="15"/>
  <c r="AG222" i="15"/>
  <c r="AG286" i="15"/>
  <c r="AG350" i="15"/>
  <c r="AG215" i="15"/>
  <c r="AG279" i="15"/>
  <c r="AG343" i="15"/>
  <c r="AG208" i="15"/>
  <c r="AG272" i="15"/>
  <c r="AG336" i="15"/>
  <c r="AG201" i="15"/>
  <c r="AG265" i="15"/>
  <c r="AG329" i="15"/>
  <c r="AG194" i="15"/>
  <c r="AK194" i="15" s="1"/>
  <c r="AO194" i="15" s="1"/>
  <c r="AQ194" i="15" s="1"/>
  <c r="AG258" i="15"/>
  <c r="AG322" i="15"/>
  <c r="AK322" i="15" s="1"/>
  <c r="AO322" i="15" s="1"/>
  <c r="AG161" i="15"/>
  <c r="AG121" i="15"/>
  <c r="AG538" i="15"/>
  <c r="AG146" i="15"/>
  <c r="AJ146" i="15" s="1"/>
  <c r="AN146" i="15" s="1"/>
  <c r="AP146" i="15" s="1"/>
  <c r="AG168" i="15"/>
  <c r="AJ168" i="15" s="1"/>
  <c r="AN168" i="15" s="1"/>
  <c r="AG536" i="15"/>
  <c r="AG139" i="15"/>
  <c r="AG46" i="15"/>
  <c r="AG36" i="15"/>
  <c r="AG63" i="15"/>
  <c r="AG24" i="15"/>
  <c r="AG57" i="15"/>
  <c r="AG95" i="15"/>
  <c r="AG78" i="15"/>
  <c r="AG54" i="15"/>
  <c r="AG20" i="15"/>
  <c r="AG109" i="15"/>
  <c r="AG26" i="15"/>
  <c r="AG22" i="15"/>
  <c r="AG532" i="15"/>
  <c r="AG521" i="15"/>
  <c r="AG179" i="15"/>
  <c r="AG243" i="15"/>
  <c r="AG307" i="15"/>
  <c r="AG180" i="15"/>
  <c r="AG244" i="15"/>
  <c r="AK244" i="15" s="1"/>
  <c r="AO244" i="15" s="1"/>
  <c r="AG308" i="15"/>
  <c r="AG237" i="15"/>
  <c r="AG301" i="15"/>
  <c r="AG365" i="15"/>
  <c r="AG230" i="15"/>
  <c r="AG294" i="15"/>
  <c r="AG358" i="15"/>
  <c r="AG223" i="15"/>
  <c r="AG287" i="15"/>
  <c r="AK287" i="15" s="1"/>
  <c r="AO287" i="15" s="1"/>
  <c r="AQ287" i="15" s="1"/>
  <c r="AG351" i="15"/>
  <c r="AK351" i="15" s="1"/>
  <c r="AO351" i="15" s="1"/>
  <c r="AQ351" i="15" s="1"/>
  <c r="AG216" i="15"/>
  <c r="AG280" i="15"/>
  <c r="AG344" i="15"/>
  <c r="AG209" i="15"/>
  <c r="AG273" i="15"/>
  <c r="AG337" i="15"/>
  <c r="AG202" i="15"/>
  <c r="AG266" i="15"/>
  <c r="AG330" i="15"/>
  <c r="AG136" i="15"/>
  <c r="AG150" i="15"/>
  <c r="AG145" i="15"/>
  <c r="AG118" i="15"/>
  <c r="AG147" i="15"/>
  <c r="AG69" i="15"/>
  <c r="AG108" i="15"/>
  <c r="AK108" i="15" s="1"/>
  <c r="AO108" i="15" s="1"/>
  <c r="AG71" i="15"/>
  <c r="AG32" i="15"/>
  <c r="AG83" i="15"/>
  <c r="AG65" i="15"/>
  <c r="AG13" i="15"/>
  <c r="AG105" i="15"/>
  <c r="AG68" i="15"/>
  <c r="AJ68" i="15" s="1"/>
  <c r="AN68" i="15" s="1"/>
  <c r="BC68" i="15" s="1"/>
  <c r="AG34" i="15"/>
  <c r="AK34" i="15" s="1"/>
  <c r="AO34" i="15" s="1"/>
  <c r="AQ34" i="15" s="1"/>
  <c r="AG81" i="15"/>
  <c r="AG525" i="15"/>
  <c r="AG529" i="15"/>
  <c r="AG187" i="15"/>
  <c r="AG251" i="15"/>
  <c r="AG315" i="15"/>
  <c r="AG188" i="15"/>
  <c r="AG252" i="15"/>
  <c r="AJ252" i="15" s="1"/>
  <c r="AN252" i="15" s="1"/>
  <c r="AP252" i="15" s="1"/>
  <c r="AG316" i="15"/>
  <c r="AG181" i="15"/>
  <c r="AG245" i="15"/>
  <c r="AJ245" i="15" s="1"/>
  <c r="AN245" i="15" s="1"/>
  <c r="AG309" i="15"/>
  <c r="AJ309" i="15" s="1"/>
  <c r="AN309" i="15" s="1"/>
  <c r="AG238" i="15"/>
  <c r="AK238" i="15" s="1"/>
  <c r="AO238" i="15" s="1"/>
  <c r="BD238" i="15" s="1"/>
  <c r="AG302" i="15"/>
  <c r="AG366" i="15"/>
  <c r="AK366" i="15" s="1"/>
  <c r="AO366" i="15" s="1"/>
  <c r="AQ366" i="15" s="1"/>
  <c r="AG231" i="15"/>
  <c r="AG295" i="15"/>
  <c r="AJ295" i="15" s="1"/>
  <c r="AN295" i="15" s="1"/>
  <c r="BC295" i="15" s="1"/>
  <c r="AG359" i="15"/>
  <c r="AJ359" i="15" s="1"/>
  <c r="AN359" i="15" s="1"/>
  <c r="AG224" i="15"/>
  <c r="AJ224" i="15" s="1"/>
  <c r="AN224" i="15" s="1"/>
  <c r="AG288" i="15"/>
  <c r="AG352" i="15"/>
  <c r="AG217" i="15"/>
  <c r="AG281" i="15"/>
  <c r="AJ281" i="15" s="1"/>
  <c r="AN281" i="15" s="1"/>
  <c r="AG345" i="15"/>
  <c r="AJ345" i="15" s="1"/>
  <c r="AN345" i="15" s="1"/>
  <c r="AG210" i="15"/>
  <c r="AG274" i="15"/>
  <c r="AJ274" i="15" s="1"/>
  <c r="AN274" i="15" s="1"/>
  <c r="AP274" i="15" s="1"/>
  <c r="AG338" i="15"/>
  <c r="AJ338" i="15" s="1"/>
  <c r="AN338" i="15" s="1"/>
  <c r="AP338" i="15" s="1"/>
  <c r="AG94" i="15"/>
  <c r="AG140" i="15"/>
  <c r="AK140" i="15" s="1"/>
  <c r="AO140" i="15" s="1"/>
  <c r="AQ140" i="15" s="1"/>
  <c r="AG157" i="15"/>
  <c r="AG128" i="15"/>
  <c r="AG152" i="15"/>
  <c r="AG155" i="15"/>
  <c r="AK155" i="15" s="1"/>
  <c r="AO155" i="15" s="1"/>
  <c r="BD155" i="15" s="1"/>
  <c r="AG122" i="15"/>
  <c r="AG99" i="15"/>
  <c r="AK99" i="15" s="1"/>
  <c r="AO99" i="15" s="1"/>
  <c r="BD99" i="15" s="1"/>
  <c r="AG15" i="15"/>
  <c r="AG40" i="15"/>
  <c r="AK40" i="15" s="1"/>
  <c r="AO40" i="15" s="1"/>
  <c r="AQ40" i="15" s="1"/>
  <c r="AG73" i="15"/>
  <c r="AG27" i="15"/>
  <c r="AK27" i="15" s="1"/>
  <c r="AO27" i="15" s="1"/>
  <c r="BD27" i="15" s="1"/>
  <c r="AG113" i="15"/>
  <c r="AG86" i="15"/>
  <c r="AJ86" i="15" s="1"/>
  <c r="AN86" i="15" s="1"/>
  <c r="AP86" i="15" s="1"/>
  <c r="AG97" i="15"/>
  <c r="AG45" i="15"/>
  <c r="AK45" i="15" s="1"/>
  <c r="AO45" i="15" s="1"/>
  <c r="BD45" i="15" s="1"/>
  <c r="AG91" i="15"/>
  <c r="AG76" i="15"/>
  <c r="AG533" i="15"/>
  <c r="AG522" i="15"/>
  <c r="AG195" i="15"/>
  <c r="AJ195" i="15" s="1"/>
  <c r="AN195" i="15" s="1"/>
  <c r="AG259" i="15"/>
  <c r="AG323" i="15"/>
  <c r="AK323" i="15" s="1"/>
  <c r="AO323" i="15" s="1"/>
  <c r="AQ323" i="15" s="1"/>
  <c r="AG196" i="15"/>
  <c r="AG260" i="15"/>
  <c r="AG324" i="15"/>
  <c r="AG189" i="15"/>
  <c r="AK189" i="15" s="1"/>
  <c r="AO189" i="15" s="1"/>
  <c r="AG253" i="15"/>
  <c r="AG317" i="15"/>
  <c r="AK317" i="15" s="1"/>
  <c r="AO317" i="15" s="1"/>
  <c r="AQ317" i="15" s="1"/>
  <c r="AG182" i="15"/>
  <c r="AG246" i="15"/>
  <c r="AG310" i="15"/>
  <c r="AG169" i="15"/>
  <c r="AG239" i="15"/>
  <c r="AG303" i="15"/>
  <c r="AG367" i="15"/>
  <c r="AG232" i="15"/>
  <c r="AG296" i="15"/>
  <c r="AG360" i="15"/>
  <c r="AG225" i="15"/>
  <c r="AG289" i="15"/>
  <c r="AG353" i="15"/>
  <c r="AG218" i="15"/>
  <c r="AG282" i="15"/>
  <c r="AG346" i="15"/>
  <c r="AG79" i="15"/>
  <c r="AG151" i="15"/>
  <c r="AG148" i="15"/>
  <c r="AG125" i="15"/>
  <c r="AG132" i="15"/>
  <c r="AG154" i="15"/>
  <c r="AG137" i="15"/>
  <c r="AG163" i="15"/>
  <c r="AG133" i="15"/>
  <c r="AK133" i="15" s="1"/>
  <c r="AO133" i="15" s="1"/>
  <c r="AG21" i="15"/>
  <c r="AG62" i="15"/>
  <c r="AG37" i="15"/>
  <c r="AG23" i="15"/>
  <c r="AG82" i="15"/>
  <c r="AG48" i="15"/>
  <c r="AG17" i="15"/>
  <c r="AG38" i="15"/>
  <c r="AG14" i="15"/>
  <c r="AG96" i="15"/>
  <c r="AG107" i="15"/>
  <c r="AG59" i="15"/>
  <c r="AG60" i="15"/>
  <c r="AG111" i="15"/>
  <c r="AG527" i="15"/>
  <c r="AG531" i="15"/>
  <c r="AG74" i="15"/>
  <c r="AG219" i="15"/>
  <c r="AJ219" i="15" s="1"/>
  <c r="AN219" i="15" s="1"/>
  <c r="BC219" i="15" s="1"/>
  <c r="AG283" i="15"/>
  <c r="AG347" i="15"/>
  <c r="AK347" i="15" s="1"/>
  <c r="AO347" i="15" s="1"/>
  <c r="AQ347" i="15" s="1"/>
  <c r="AG220" i="15"/>
  <c r="AK220" i="15" s="1"/>
  <c r="AO220" i="15" s="1"/>
  <c r="BD220" i="15" s="1"/>
  <c r="AG284" i="15"/>
  <c r="AG348" i="15"/>
  <c r="AG213" i="15"/>
  <c r="AG277" i="15"/>
  <c r="AG341" i="15"/>
  <c r="AG206" i="15"/>
  <c r="AG270" i="15"/>
  <c r="AG334" i="15"/>
  <c r="AG199" i="15"/>
  <c r="AJ199" i="15" s="1"/>
  <c r="AN199" i="15" s="1"/>
  <c r="BC199" i="15" s="1"/>
  <c r="AG263" i="15"/>
  <c r="AG327" i="15"/>
  <c r="AK327" i="15" s="1"/>
  <c r="AO327" i="15" s="1"/>
  <c r="BD327" i="15" s="1"/>
  <c r="AG192" i="15"/>
  <c r="AG256" i="15"/>
  <c r="AG320" i="15"/>
  <c r="AG185" i="15"/>
  <c r="AG249" i="15"/>
  <c r="AG313" i="15"/>
  <c r="AG172" i="15"/>
  <c r="AJ172" i="15" s="1"/>
  <c r="AN172" i="15" s="1"/>
  <c r="AP172" i="15" s="1"/>
  <c r="AG242" i="15"/>
  <c r="AJ242" i="15" s="1"/>
  <c r="AN242" i="15" s="1"/>
  <c r="BC242" i="15" s="1"/>
  <c r="AG306" i="15"/>
  <c r="AK306" i="15" s="1"/>
  <c r="AO306" i="15" s="1"/>
  <c r="AQ306" i="15" s="1"/>
  <c r="AG537" i="15"/>
  <c r="AG143" i="15"/>
  <c r="AG142" i="15"/>
  <c r="AG162" i="15"/>
  <c r="AG126" i="15"/>
  <c r="AG165" i="15"/>
  <c r="AG88" i="15"/>
  <c r="AG110" i="15"/>
  <c r="AG93" i="15"/>
  <c r="AG47" i="15"/>
  <c r="AG106" i="15"/>
  <c r="AG72" i="15"/>
  <c r="AG41" i="15"/>
  <c r="AG92" i="15"/>
  <c r="AJ92" i="15" s="1"/>
  <c r="AN92" i="15" s="1"/>
  <c r="BC92" i="15" s="1"/>
  <c r="AG77" i="15"/>
  <c r="AG53" i="15"/>
  <c r="AG18" i="15"/>
  <c r="AG115" i="15"/>
  <c r="AG89" i="15"/>
  <c r="AJ89" i="15" s="1"/>
  <c r="AN89" i="15" s="1"/>
  <c r="AP89" i="15" s="1"/>
  <c r="AG104" i="15"/>
  <c r="AG75" i="15"/>
  <c r="AG535" i="15"/>
  <c r="AG227" i="15"/>
  <c r="AG291" i="15"/>
  <c r="AG355" i="15"/>
  <c r="AG228" i="15"/>
  <c r="AG292" i="15"/>
  <c r="AG356" i="15"/>
  <c r="AG221" i="15"/>
  <c r="AG285" i="15"/>
  <c r="AG349" i="15"/>
  <c r="AG214" i="15"/>
  <c r="AK214" i="15" s="1"/>
  <c r="AO214" i="15" s="1"/>
  <c r="AG278" i="15"/>
  <c r="AG342" i="15"/>
  <c r="AG207" i="15"/>
  <c r="AG271" i="15"/>
  <c r="AG335" i="15"/>
  <c r="AG200" i="15"/>
  <c r="AG264" i="15"/>
  <c r="AG328" i="15"/>
  <c r="AG193" i="15"/>
  <c r="AK193" i="15" s="1"/>
  <c r="AO193" i="15" s="1"/>
  <c r="AQ193" i="15" s="1"/>
  <c r="AG257" i="15"/>
  <c r="AG321" i="15"/>
  <c r="AK321" i="15" s="1"/>
  <c r="AO321" i="15" s="1"/>
  <c r="AG186" i="15"/>
  <c r="AG250" i="15"/>
  <c r="AG314" i="15"/>
  <c r="AG119" i="15"/>
  <c r="AG167" i="15"/>
  <c r="AG144" i="15"/>
  <c r="AG166" i="15"/>
  <c r="AG130" i="15"/>
  <c r="AG120" i="15"/>
  <c r="AG135" i="15"/>
  <c r="AG11" i="15"/>
  <c r="AG102" i="15"/>
  <c r="AK102" i="15" s="1"/>
  <c r="AO102" i="15" s="1"/>
  <c r="AQ102" i="15" s="1"/>
  <c r="AG61" i="15"/>
  <c r="AG55" i="15"/>
  <c r="AG16" i="15"/>
  <c r="AG49" i="15"/>
  <c r="AG100" i="15"/>
  <c r="AG85" i="15"/>
  <c r="AG67" i="15"/>
  <c r="AG29" i="15"/>
  <c r="AG101" i="15"/>
  <c r="AG51" i="15"/>
  <c r="AG50" i="15"/>
  <c r="AJ44" i="15"/>
  <c r="AN44" i="15" s="1"/>
  <c r="AK141" i="15"/>
  <c r="AO141" i="15" s="1"/>
  <c r="BD141" i="15" s="1"/>
  <c r="AJ183" i="15"/>
  <c r="AN183" i="15" s="1"/>
  <c r="BC183" i="15" s="1"/>
  <c r="AK183" i="15"/>
  <c r="AO183" i="15" s="1"/>
  <c r="AQ183" i="15" s="1"/>
  <c r="AK254" i="15"/>
  <c r="AO254" i="15" s="1"/>
  <c r="BD254" i="15" s="1"/>
  <c r="AK298" i="15"/>
  <c r="AO298" i="15" s="1"/>
  <c r="BD298" i="15" s="1"/>
  <c r="AJ298" i="15"/>
  <c r="AN298" i="15" s="1"/>
  <c r="AP298" i="15" s="1"/>
  <c r="AK368" i="15"/>
  <c r="AO368" i="15" s="1"/>
  <c r="AJ103" i="15"/>
  <c r="AN103" i="15" s="1"/>
  <c r="AK103" i="15"/>
  <c r="AO103" i="15" s="1"/>
  <c r="BD103" i="15" s="1"/>
  <c r="AJ261" i="15"/>
  <c r="AN261" i="15" s="1"/>
  <c r="AP261" i="15" s="1"/>
  <c r="AO405" i="15"/>
  <c r="AQ405" i="15" s="1"/>
  <c r="AK275" i="15"/>
  <c r="AO275" i="15" s="1"/>
  <c r="AK212" i="15"/>
  <c r="AO212" i="15" s="1"/>
  <c r="AK362" i="15"/>
  <c r="AO362" i="15" s="1"/>
  <c r="AK64" i="15"/>
  <c r="AO64" i="15" s="1"/>
  <c r="BD64" i="15" s="1"/>
  <c r="AK114" i="15"/>
  <c r="AO114" i="15" s="1"/>
  <c r="BD114" i="15" s="1"/>
  <c r="AJ205" i="15"/>
  <c r="AN205" i="15" s="1"/>
  <c r="AK191" i="15"/>
  <c r="AO191" i="15" s="1"/>
  <c r="AJ318" i="15"/>
  <c r="AN318" i="15" s="1"/>
  <c r="AK262" i="15"/>
  <c r="AO262" i="15" s="1"/>
  <c r="AK333" i="15"/>
  <c r="AO333" i="15" s="1"/>
  <c r="AQ333" i="15" s="1"/>
  <c r="AK127" i="15"/>
  <c r="AO127" i="15" s="1"/>
  <c r="BD127" i="15" s="1"/>
  <c r="AJ112" i="15"/>
  <c r="AN112" i="15" s="1"/>
  <c r="AJ123" i="15"/>
  <c r="AN123" i="15" s="1"/>
  <c r="BC123" i="15" s="1"/>
  <c r="AJ90" i="15"/>
  <c r="AN90" i="15" s="1"/>
  <c r="BC90" i="15" s="1"/>
  <c r="AK312" i="15"/>
  <c r="AO312" i="15" s="1"/>
  <c r="AQ312" i="15" s="1"/>
  <c r="AJ276" i="15"/>
  <c r="AN276" i="15" s="1"/>
  <c r="AJ339" i="15"/>
  <c r="AN339" i="15" s="1"/>
  <c r="AK326" i="15"/>
  <c r="AO326" i="15" s="1"/>
  <c r="AJ138" i="15"/>
  <c r="AN138" i="15" s="1"/>
  <c r="AJ131" i="15"/>
  <c r="AN131" i="15" s="1"/>
  <c r="AP131" i="15" s="1"/>
  <c r="AJ98" i="15"/>
  <c r="AN98" i="15" s="1"/>
  <c r="BC98" i="15" s="1"/>
  <c r="AJ153" i="15"/>
  <c r="AN153" i="15" s="1"/>
  <c r="AK325" i="15"/>
  <c r="AO325" i="15" s="1"/>
  <c r="BD325" i="15" s="1"/>
  <c r="AK340" i="15"/>
  <c r="AO340" i="15" s="1"/>
  <c r="AQ340" i="15" s="1"/>
  <c r="AJ184" i="15"/>
  <c r="AN184" i="15" s="1"/>
  <c r="AK87" i="15"/>
  <c r="AO87" i="15" s="1"/>
  <c r="AJ42" i="15"/>
  <c r="AN42" i="15" s="1"/>
  <c r="BC42" i="15" s="1"/>
  <c r="AK319" i="15"/>
  <c r="AO319" i="15" s="1"/>
  <c r="AK267" i="15"/>
  <c r="AO267" i="15" s="1"/>
  <c r="AQ267" i="15" s="1"/>
  <c r="AK305" i="15"/>
  <c r="AO305" i="15" s="1"/>
  <c r="AJ70" i="15"/>
  <c r="AN70" i="15" s="1"/>
  <c r="BC70" i="15" s="1"/>
  <c r="AJ164" i="15"/>
  <c r="AN164" i="15" s="1"/>
  <c r="AO318" i="15"/>
  <c r="AQ318" i="15" s="1"/>
  <c r="AO475" i="15"/>
  <c r="AQ475" i="15" s="1"/>
  <c r="AO439" i="15"/>
  <c r="BD439" i="15" s="1"/>
  <c r="AO491" i="15"/>
  <c r="AQ491" i="15" s="1"/>
  <c r="AO380" i="15"/>
  <c r="AQ380" i="15" s="1"/>
  <c r="AO511" i="15"/>
  <c r="AQ511" i="15" s="1"/>
  <c r="AO387" i="15"/>
  <c r="AO383" i="15"/>
  <c r="BD383" i="15" s="1"/>
  <c r="AO379" i="15"/>
  <c r="AQ379" i="15" s="1"/>
  <c r="AO395" i="15"/>
  <c r="AQ395" i="15" s="1"/>
  <c r="AO489" i="15"/>
  <c r="AQ489" i="15" s="1"/>
  <c r="P70" i="8"/>
  <c r="P54" i="8"/>
  <c r="AJ332" i="15"/>
  <c r="AN332" i="15" s="1"/>
  <c r="AK248" i="15"/>
  <c r="AO248" i="15" s="1"/>
  <c r="AQ248" i="15" s="1"/>
  <c r="AJ248" i="15"/>
  <c r="AN248" i="15" s="1"/>
  <c r="P78" i="8"/>
  <c r="AJ268" i="15"/>
  <c r="AN268" i="15" s="1"/>
  <c r="AP268" i="15" s="1"/>
  <c r="P62" i="8"/>
  <c r="P46" i="8"/>
  <c r="P84" i="8"/>
  <c r="P76" i="8"/>
  <c r="P68" i="8"/>
  <c r="P30" i="8"/>
  <c r="P22" i="8"/>
  <c r="AJ34" i="15"/>
  <c r="AN34" i="15" s="1"/>
  <c r="BC34" i="15" s="1"/>
  <c r="P36" i="8"/>
  <c r="P59" i="8"/>
  <c r="P35" i="8"/>
  <c r="P96" i="8"/>
  <c r="P40" i="8"/>
  <c r="P32" i="8"/>
  <c r="AK19" i="15"/>
  <c r="AO19" i="15" s="1"/>
  <c r="BD19" i="15" s="1"/>
  <c r="AK116" i="15"/>
  <c r="AO116" i="15" s="1"/>
  <c r="AQ116" i="15" s="1"/>
  <c r="AK269" i="15"/>
  <c r="AO269" i="15" s="1"/>
  <c r="BD269" i="15" s="1"/>
  <c r="AJ269" i="15"/>
  <c r="AN269" i="15" s="1"/>
  <c r="AP269" i="15" s="1"/>
  <c r="AK363" i="15"/>
  <c r="AO363" i="15" s="1"/>
  <c r="AQ363" i="15" s="1"/>
  <c r="I86" i="8"/>
  <c r="I134" i="8" s="1"/>
  <c r="H134" i="8"/>
  <c r="P14" i="8"/>
  <c r="P60" i="8"/>
  <c r="P44" i="8"/>
  <c r="P51" i="8"/>
  <c r="P43" i="8"/>
  <c r="P20" i="8"/>
  <c r="P94" i="8"/>
  <c r="P73" i="8"/>
  <c r="P27" i="8"/>
  <c r="P19" i="8"/>
  <c r="AK66" i="15"/>
  <c r="AO66" i="15" s="1"/>
  <c r="AK233" i="15"/>
  <c r="AO233" i="15" s="1"/>
  <c r="AQ233" i="15" s="1"/>
  <c r="AN381" i="15"/>
  <c r="AP381" i="15" s="1"/>
  <c r="Y12" i="16"/>
  <c r="Y23" i="16"/>
  <c r="Y25" i="16"/>
  <c r="Y32" i="16"/>
  <c r="Y37" i="16"/>
  <c r="Y35" i="16"/>
  <c r="Y65" i="16"/>
  <c r="Y61" i="16"/>
  <c r="Y91" i="16"/>
  <c r="AN81" i="16"/>
  <c r="Y20" i="16"/>
  <c r="Y84" i="16"/>
  <c r="Y94" i="16"/>
  <c r="Y46" i="16"/>
  <c r="Y29" i="16"/>
  <c r="Y27" i="16"/>
  <c r="Y57" i="16"/>
  <c r="Y53" i="16"/>
  <c r="Y90" i="16"/>
  <c r="Y21" i="16"/>
  <c r="Y41" i="16"/>
  <c r="Y47" i="16"/>
  <c r="Y30" i="16"/>
  <c r="Y44" i="16"/>
  <c r="Y50" i="16"/>
  <c r="Y56" i="16"/>
  <c r="Y63" i="16"/>
  <c r="Y88" i="16"/>
  <c r="Y18" i="16"/>
  <c r="Y14" i="16"/>
  <c r="Y83" i="16"/>
  <c r="Y31" i="16"/>
  <c r="Y81" i="16"/>
  <c r="Y28" i="16"/>
  <c r="Y34" i="16"/>
  <c r="Y55" i="16"/>
  <c r="Y54" i="16"/>
  <c r="AN383" i="15"/>
  <c r="AP383" i="15" s="1"/>
  <c r="AN421" i="15"/>
  <c r="AP421" i="15" s="1"/>
  <c r="AN413" i="15"/>
  <c r="AP413" i="15" s="1"/>
  <c r="AN401" i="15"/>
  <c r="AP401" i="15" s="1"/>
  <c r="AN127" i="15"/>
  <c r="BC127" i="15" s="1"/>
  <c r="AO513" i="15"/>
  <c r="BD513" i="15" s="1"/>
  <c r="AO415" i="15"/>
  <c r="AQ415" i="15" s="1"/>
  <c r="AN506" i="15"/>
  <c r="BC506" i="15" s="1"/>
  <c r="AO499" i="15"/>
  <c r="AQ499" i="15" s="1"/>
  <c r="AO138" i="15"/>
  <c r="BD138" i="15" s="1"/>
  <c r="AN500" i="15"/>
  <c r="BC500" i="15" s="1"/>
  <c r="AN340" i="15"/>
  <c r="AP340" i="15" s="1"/>
  <c r="AN425" i="15"/>
  <c r="AP425" i="15" s="1"/>
  <c r="AN475" i="15"/>
  <c r="BC475" i="15" s="1"/>
  <c r="AN443" i="15"/>
  <c r="AP443" i="15" s="1"/>
  <c r="AN439" i="15"/>
  <c r="AP439" i="15" s="1"/>
  <c r="AO457" i="15"/>
  <c r="AQ457" i="15" s="1"/>
  <c r="AO465" i="15"/>
  <c r="BD465" i="15" s="1"/>
  <c r="AO441" i="15"/>
  <c r="BD441" i="15" s="1"/>
  <c r="AO437" i="15"/>
  <c r="AQ437" i="15" s="1"/>
  <c r="AN486" i="15"/>
  <c r="BC486" i="15" s="1"/>
  <c r="AN450" i="15"/>
  <c r="AP450" i="15" s="1"/>
  <c r="AN446" i="15"/>
  <c r="AP446" i="15" s="1"/>
  <c r="AN459" i="15"/>
  <c r="AP459" i="15" s="1"/>
  <c r="AN491" i="15"/>
  <c r="AO503" i="15"/>
  <c r="AQ503" i="15" s="1"/>
  <c r="AN468" i="15"/>
  <c r="AP468" i="15" s="1"/>
  <c r="AN460" i="15"/>
  <c r="AP460" i="15" s="1"/>
  <c r="AN444" i="15"/>
  <c r="AP444" i="15" s="1"/>
  <c r="AN472" i="15"/>
  <c r="BC472" i="15" s="1"/>
  <c r="AN428" i="15"/>
  <c r="AP428" i="15" s="1"/>
  <c r="AN448" i="15"/>
  <c r="AP448" i="15" s="1"/>
  <c r="AN442" i="15"/>
  <c r="AP442" i="15" s="1"/>
  <c r="AN471" i="15"/>
  <c r="BC471" i="15" s="1"/>
  <c r="AN435" i="15"/>
  <c r="BC435" i="15" s="1"/>
  <c r="AN418" i="15"/>
  <c r="BC418" i="15" s="1"/>
  <c r="AN377" i="15"/>
  <c r="AP377" i="15" s="1"/>
  <c r="AN426" i="15"/>
  <c r="AP426" i="15" s="1"/>
  <c r="AN494" i="15"/>
  <c r="AP494" i="15" s="1"/>
  <c r="AN502" i="15"/>
  <c r="AP502" i="15" s="1"/>
  <c r="AO505" i="15"/>
  <c r="AQ505" i="15" s="1"/>
  <c r="AN388" i="15"/>
  <c r="AP388" i="15" s="1"/>
  <c r="AN380" i="15"/>
  <c r="AP380" i="15" s="1"/>
  <c r="AN390" i="15"/>
  <c r="AP390" i="15" s="1"/>
  <c r="AN419" i="15"/>
  <c r="AP419" i="15" s="1"/>
  <c r="AN403" i="15"/>
  <c r="AP403" i="15" s="1"/>
  <c r="AN395" i="15"/>
  <c r="BC395" i="15" s="1"/>
  <c r="AN511" i="15"/>
  <c r="AP511" i="15" s="1"/>
  <c r="AN482" i="15"/>
  <c r="AP482" i="15" s="1"/>
  <c r="AN454" i="15"/>
  <c r="AP454" i="15" s="1"/>
  <c r="AO455" i="15"/>
  <c r="AQ455" i="15" s="1"/>
  <c r="AN445" i="15"/>
  <c r="AP445" i="15" s="1"/>
  <c r="AO506" i="15"/>
  <c r="AQ506" i="15" s="1"/>
  <c r="AO411" i="15"/>
  <c r="BD411" i="15" s="1"/>
  <c r="AO412" i="15"/>
  <c r="BD412" i="15" s="1"/>
  <c r="AN177" i="15"/>
  <c r="AP177" i="15" s="1"/>
  <c r="AN173" i="15"/>
  <c r="BC173" i="15" s="1"/>
  <c r="AN387" i="15"/>
  <c r="BC387" i="15" s="1"/>
  <c r="AN379" i="15"/>
  <c r="AP379" i="15" s="1"/>
  <c r="AN410" i="15"/>
  <c r="AP410" i="15" s="1"/>
  <c r="AN406" i="15"/>
  <c r="AP406" i="15" s="1"/>
  <c r="AN489" i="15"/>
  <c r="BC489" i="15" s="1"/>
  <c r="AN510" i="15"/>
  <c r="BC510" i="15" s="1"/>
  <c r="AN467" i="15"/>
  <c r="AP467" i="15" s="1"/>
  <c r="AN384" i="15"/>
  <c r="BC384" i="15" s="1"/>
  <c r="AO70" i="15"/>
  <c r="AQ70" i="15" s="1"/>
  <c r="AO164" i="15"/>
  <c r="BD164" i="15" s="1"/>
  <c r="AO153" i="15"/>
  <c r="AQ153" i="15" s="1"/>
  <c r="AN488" i="15"/>
  <c r="AN480" i="15"/>
  <c r="AP480" i="15" s="1"/>
  <c r="AN476" i="15"/>
  <c r="AP476" i="15" s="1"/>
  <c r="AN456" i="15"/>
  <c r="AP456" i="15" s="1"/>
  <c r="AN436" i="15"/>
  <c r="AP436" i="15" s="1"/>
  <c r="P56" i="8"/>
  <c r="P28" i="8"/>
  <c r="R73" i="8"/>
  <c r="P47" i="8"/>
  <c r="P31" i="8"/>
  <c r="P80" i="8"/>
  <c r="P16" i="8"/>
  <c r="P93" i="8"/>
  <c r="P87" i="8"/>
  <c r="P92" i="8"/>
  <c r="P61" i="8"/>
  <c r="P53" i="8"/>
  <c r="P52" i="8"/>
  <c r="P90" i="8"/>
  <c r="P45" i="8"/>
  <c r="P77" i="8"/>
  <c r="P37" i="8"/>
  <c r="P72" i="8"/>
  <c r="P91" i="8"/>
  <c r="P38" i="8"/>
  <c r="P69" i="8"/>
  <c r="P48" i="8"/>
  <c r="P24" i="8"/>
  <c r="R85" i="8"/>
  <c r="P23" i="8"/>
  <c r="P63" i="8"/>
  <c r="P29" i="8"/>
  <c r="P97" i="8"/>
  <c r="P81" i="8"/>
  <c r="AN481" i="15"/>
  <c r="AP481" i="15" s="1"/>
  <c r="AN453" i="15"/>
  <c r="BC453" i="15" s="1"/>
  <c r="AN372" i="15"/>
  <c r="AP372" i="15" s="1"/>
  <c r="AN415" i="15"/>
  <c r="BC415" i="15" s="1"/>
  <c r="AN462" i="15"/>
  <c r="AP462" i="15" s="1"/>
  <c r="AN430" i="15"/>
  <c r="BC430" i="15" s="1"/>
  <c r="AO490" i="15"/>
  <c r="BD490" i="15" s="1"/>
  <c r="AN503" i="15"/>
  <c r="AP503" i="15" s="1"/>
  <c r="AO487" i="15"/>
  <c r="AQ487" i="15" s="1"/>
  <c r="AO447" i="15"/>
  <c r="AQ447" i="15" s="1"/>
  <c r="AO408" i="15"/>
  <c r="AQ408" i="15" s="1"/>
  <c r="AO423" i="15"/>
  <c r="BD423" i="15" s="1"/>
  <c r="AO112" i="15"/>
  <c r="AQ112" i="15" s="1"/>
  <c r="AN391" i="15"/>
  <c r="AP391" i="15" s="1"/>
  <c r="AO178" i="15"/>
  <c r="AQ178" i="15" s="1"/>
  <c r="AO420" i="15"/>
  <c r="AQ420" i="15" s="1"/>
  <c r="AO397" i="15"/>
  <c r="AQ397" i="15" s="1"/>
  <c r="AN178" i="15"/>
  <c r="BC178" i="15" s="1"/>
  <c r="AN174" i="15"/>
  <c r="BC174" i="15" s="1"/>
  <c r="AN393" i="15"/>
  <c r="AP393" i="15" s="1"/>
  <c r="AN420" i="15"/>
  <c r="BC420" i="15" s="1"/>
  <c r="AO35" i="15"/>
  <c r="AQ35" i="15" s="1"/>
  <c r="AN484" i="15"/>
  <c r="AP484" i="15" s="1"/>
  <c r="AN432" i="15"/>
  <c r="AP432" i="15" s="1"/>
  <c r="AN437" i="15"/>
  <c r="AP437" i="15" s="1"/>
  <c r="AN376" i="15"/>
  <c r="AP376" i="15" s="1"/>
  <c r="AN422" i="15"/>
  <c r="BC422" i="15" s="1"/>
  <c r="AO504" i="15"/>
  <c r="BD504" i="15" s="1"/>
  <c r="AN414" i="15"/>
  <c r="BC414" i="15" s="1"/>
  <c r="AO440" i="15"/>
  <c r="AQ440" i="15" s="1"/>
  <c r="AN370" i="15"/>
  <c r="BC370" i="15" s="1"/>
  <c r="AN416" i="15"/>
  <c r="AP416" i="15" s="1"/>
  <c r="AN473" i="15"/>
  <c r="BC473" i="15" s="1"/>
  <c r="AN469" i="15"/>
  <c r="BC469" i="15" s="1"/>
  <c r="AN465" i="15"/>
  <c r="AP465" i="15" s="1"/>
  <c r="AN457" i="15"/>
  <c r="AP457" i="15" s="1"/>
  <c r="AN441" i="15"/>
  <c r="AP441" i="15" s="1"/>
  <c r="AO449" i="15"/>
  <c r="AQ449" i="15" s="1"/>
  <c r="AO156" i="15"/>
  <c r="BD156" i="15" s="1"/>
  <c r="AO421" i="15"/>
  <c r="BD421" i="15" s="1"/>
  <c r="AN371" i="15"/>
  <c r="AP371" i="15" s="1"/>
  <c r="AN408" i="15"/>
  <c r="BC408" i="15" s="1"/>
  <c r="AN493" i="15"/>
  <c r="AP493" i="15" s="1"/>
  <c r="AN464" i="15"/>
  <c r="BC464" i="15" s="1"/>
  <c r="AN452" i="15"/>
  <c r="AN402" i="15"/>
  <c r="AP402" i="15" s="1"/>
  <c r="AO413" i="15"/>
  <c r="AQ413" i="15" s="1"/>
  <c r="AO416" i="15"/>
  <c r="BD416" i="15" s="1"/>
  <c r="AO374" i="15"/>
  <c r="BD374" i="15" s="1"/>
  <c r="AO493" i="15"/>
  <c r="AQ493" i="15" s="1"/>
  <c r="AO484" i="15"/>
  <c r="BD484" i="15" s="1"/>
  <c r="AO464" i="15"/>
  <c r="AQ464" i="15" s="1"/>
  <c r="AO452" i="15"/>
  <c r="BD452" i="15" s="1"/>
  <c r="AO432" i="15"/>
  <c r="AQ432" i="15" s="1"/>
  <c r="AO175" i="15"/>
  <c r="BD175" i="15" s="1"/>
  <c r="AN175" i="15"/>
  <c r="BC175" i="15" s="1"/>
  <c r="AO392" i="15"/>
  <c r="AQ392" i="15" s="1"/>
  <c r="AN496" i="15"/>
  <c r="AP496" i="15" s="1"/>
  <c r="AL513" i="15"/>
  <c r="AN513" i="15" s="1"/>
  <c r="BC513" i="15" s="1"/>
  <c r="AN497" i="15"/>
  <c r="AP497" i="15" s="1"/>
  <c r="AO483" i="15"/>
  <c r="AQ483" i="15" s="1"/>
  <c r="AO467" i="15"/>
  <c r="AQ467" i="15" s="1"/>
  <c r="AO485" i="15"/>
  <c r="AQ485" i="15" s="1"/>
  <c r="AO451" i="15"/>
  <c r="AQ451" i="15" s="1"/>
  <c r="AO429" i="15"/>
  <c r="AQ429" i="15" s="1"/>
  <c r="AO400" i="15"/>
  <c r="AO404" i="15"/>
  <c r="BD404" i="15" s="1"/>
  <c r="AO373" i="15"/>
  <c r="AQ373" i="15" s="1"/>
  <c r="AO396" i="15"/>
  <c r="AQ396" i="15" s="1"/>
  <c r="AN392" i="15"/>
  <c r="AP392" i="15" s="1"/>
  <c r="AN423" i="15"/>
  <c r="AO399" i="15"/>
  <c r="AQ399" i="15" s="1"/>
  <c r="AN487" i="15"/>
  <c r="AP487" i="15" s="1"/>
  <c r="AN479" i="15"/>
  <c r="AN447" i="15"/>
  <c r="BC447" i="15" s="1"/>
  <c r="AN431" i="15"/>
  <c r="AP431" i="15" s="1"/>
  <c r="AO495" i="15"/>
  <c r="AN505" i="15"/>
  <c r="AP505" i="15" s="1"/>
  <c r="AN483" i="15"/>
  <c r="AO422" i="15"/>
  <c r="AQ422" i="15" s="1"/>
  <c r="AO414" i="15"/>
  <c r="AQ414" i="15" s="1"/>
  <c r="AN399" i="15"/>
  <c r="AO508" i="15"/>
  <c r="AQ508" i="15" s="1"/>
  <c r="AO375" i="15"/>
  <c r="BD375" i="15" s="1"/>
  <c r="AO398" i="15"/>
  <c r="AQ398" i="15" s="1"/>
  <c r="AN438" i="15"/>
  <c r="AP438" i="15" s="1"/>
  <c r="AO498" i="15"/>
  <c r="BD498" i="15" s="1"/>
  <c r="AN508" i="15"/>
  <c r="AP508" i="15" s="1"/>
  <c r="AN375" i="15"/>
  <c r="AP375" i="15" s="1"/>
  <c r="AO481" i="15"/>
  <c r="AQ481" i="15" s="1"/>
  <c r="AO453" i="15"/>
  <c r="AQ453" i="15" s="1"/>
  <c r="AO471" i="15"/>
  <c r="AQ471" i="15" s="1"/>
  <c r="AO435" i="15"/>
  <c r="BD435" i="15" s="1"/>
  <c r="AO402" i="15"/>
  <c r="BD402" i="15" s="1"/>
  <c r="AN176" i="15"/>
  <c r="BC176" i="15" s="1"/>
  <c r="AN378" i="15"/>
  <c r="BC378" i="15" s="1"/>
  <c r="AN409" i="15"/>
  <c r="BC409" i="15" s="1"/>
  <c r="AN382" i="15"/>
  <c r="AP382" i="15" s="1"/>
  <c r="AN509" i="15"/>
  <c r="AP509" i="15" s="1"/>
  <c r="AN405" i="15"/>
  <c r="BC405" i="15" s="1"/>
  <c r="AO174" i="15"/>
  <c r="BD174" i="15" s="1"/>
  <c r="AO384" i="15"/>
  <c r="AO386" i="15"/>
  <c r="AQ386" i="15" s="1"/>
  <c r="AO468" i="15"/>
  <c r="BD468" i="15" s="1"/>
  <c r="AO460" i="15"/>
  <c r="AQ460" i="15" s="1"/>
  <c r="AO444" i="15"/>
  <c r="AQ444" i="15" s="1"/>
  <c r="AO176" i="15"/>
  <c r="AQ176" i="15" s="1"/>
  <c r="AO472" i="15"/>
  <c r="BD472" i="15" s="1"/>
  <c r="AO428" i="15"/>
  <c r="BD428" i="15" s="1"/>
  <c r="AO458" i="15"/>
  <c r="BD458" i="15" s="1"/>
  <c r="AO478" i="15"/>
  <c r="BD478" i="15" s="1"/>
  <c r="AO389" i="15"/>
  <c r="AQ389" i="15" s="1"/>
  <c r="AO385" i="15"/>
  <c r="AQ385" i="15" s="1"/>
  <c r="AO393" i="15"/>
  <c r="BD393" i="15" s="1"/>
  <c r="AO477" i="15"/>
  <c r="AQ477" i="15" s="1"/>
  <c r="AO461" i="15"/>
  <c r="AO433" i="15"/>
  <c r="AO479" i="15"/>
  <c r="AQ479" i="15" s="1"/>
  <c r="AO431" i="15"/>
  <c r="AO371" i="15"/>
  <c r="AN477" i="15"/>
  <c r="AP477" i="15" s="1"/>
  <c r="AN449" i="15"/>
  <c r="AP449" i="15" s="1"/>
  <c r="AN433" i="15"/>
  <c r="AP433" i="15" s="1"/>
  <c r="AO426" i="15"/>
  <c r="BD426" i="15" s="1"/>
  <c r="AO492" i="15"/>
  <c r="AN389" i="15"/>
  <c r="AP389" i="15" s="1"/>
  <c r="AN440" i="15"/>
  <c r="AN470" i="15"/>
  <c r="AP470" i="15" s="1"/>
  <c r="AO391" i="15"/>
  <c r="BD391" i="15" s="1"/>
  <c r="AO463" i="15"/>
  <c r="AO390" i="15"/>
  <c r="AQ390" i="15" s="1"/>
  <c r="AO388" i="15"/>
  <c r="AO476" i="15"/>
  <c r="BD476" i="15" s="1"/>
  <c r="AO445" i="15"/>
  <c r="BD445" i="15" s="1"/>
  <c r="AO459" i="15"/>
  <c r="AQ459" i="15" s="1"/>
  <c r="AO443" i="15"/>
  <c r="AO417" i="15"/>
  <c r="AO448" i="15"/>
  <c r="BD448" i="15" s="1"/>
  <c r="AO474" i="15"/>
  <c r="AQ474" i="15" s="1"/>
  <c r="AO442" i="15"/>
  <c r="AQ442" i="15" s="1"/>
  <c r="AO466" i="15"/>
  <c r="AQ466" i="15" s="1"/>
  <c r="AO434" i="15"/>
  <c r="BD434" i="15" s="1"/>
  <c r="AO394" i="15"/>
  <c r="BD394" i="15" s="1"/>
  <c r="AL512" i="15"/>
  <c r="AN512" i="15" s="1"/>
  <c r="AM512" i="15"/>
  <c r="AO512" i="15" s="1"/>
  <c r="AO497" i="15"/>
  <c r="AN478" i="15"/>
  <c r="AP478" i="15" s="1"/>
  <c r="AN474" i="15"/>
  <c r="BC474" i="15" s="1"/>
  <c r="AN466" i="15"/>
  <c r="BC466" i="15" s="1"/>
  <c r="AN458" i="15"/>
  <c r="AP458" i="15" s="1"/>
  <c r="AN434" i="15"/>
  <c r="AO469" i="15"/>
  <c r="AO473" i="15"/>
  <c r="AN455" i="15"/>
  <c r="AN461" i="15"/>
  <c r="AO381" i="15"/>
  <c r="AO419" i="15"/>
  <c r="AO403" i="15"/>
  <c r="AN427" i="15"/>
  <c r="AP427" i="15" s="1"/>
  <c r="AO378" i="15"/>
  <c r="AO418" i="15"/>
  <c r="BD418" i="15" s="1"/>
  <c r="AO424" i="15"/>
  <c r="AO382" i="15"/>
  <c r="BD382" i="15" s="1"/>
  <c r="AO494" i="15"/>
  <c r="BD494" i="15" s="1"/>
  <c r="AN398" i="15"/>
  <c r="BC398" i="15" s="1"/>
  <c r="AO376" i="15"/>
  <c r="AQ376" i="15" s="1"/>
  <c r="AN394" i="15"/>
  <c r="AO425" i="15"/>
  <c r="BD425" i="15" s="1"/>
  <c r="AO401" i="15"/>
  <c r="AQ401" i="15" s="1"/>
  <c r="AO510" i="15"/>
  <c r="BD510" i="15" s="1"/>
  <c r="AN504" i="15"/>
  <c r="AO500" i="15"/>
  <c r="AN424" i="15"/>
  <c r="BC424" i="15" s="1"/>
  <c r="AO486" i="15"/>
  <c r="AQ486" i="15" s="1"/>
  <c r="AO482" i="15"/>
  <c r="AQ482" i="15" s="1"/>
  <c r="AO470" i="15"/>
  <c r="AQ470" i="15" s="1"/>
  <c r="AO462" i="15"/>
  <c r="BD462" i="15" s="1"/>
  <c r="AO454" i="15"/>
  <c r="AQ454" i="15" s="1"/>
  <c r="AO450" i="15"/>
  <c r="AQ450" i="15" s="1"/>
  <c r="AO446" i="15"/>
  <c r="BD446" i="15" s="1"/>
  <c r="AO438" i="15"/>
  <c r="AO430" i="15"/>
  <c r="AQ430" i="15" s="1"/>
  <c r="AN499" i="15"/>
  <c r="AP499" i="15" s="1"/>
  <c r="AO377" i="15"/>
  <c r="AO502" i="15"/>
  <c r="AQ502" i="15" s="1"/>
  <c r="AO372" i="15"/>
  <c r="AO370" i="15"/>
  <c r="BD370" i="15" s="1"/>
  <c r="AN498" i="15"/>
  <c r="AP498" i="15" s="1"/>
  <c r="AN495" i="15"/>
  <c r="AP495" i="15" s="1"/>
  <c r="AO501" i="15"/>
  <c r="AO496" i="15"/>
  <c r="AN507" i="15"/>
  <c r="AO509" i="15"/>
  <c r="BD509" i="15" s="1"/>
  <c r="AO409" i="15"/>
  <c r="AO427" i="15"/>
  <c r="AJ297" i="15" l="1"/>
  <c r="AN297" i="15" s="1"/>
  <c r="AP297" i="15" s="1"/>
  <c r="AK159" i="15"/>
  <c r="AO159" i="15" s="1"/>
  <c r="BD159" i="15" s="1"/>
  <c r="AJ361" i="15"/>
  <c r="AN361" i="15" s="1"/>
  <c r="BC361" i="15" s="1"/>
  <c r="AJ366" i="15"/>
  <c r="AN366" i="15" s="1"/>
  <c r="BC366" i="15" s="1"/>
  <c r="AK240" i="15"/>
  <c r="AO240" i="15" s="1"/>
  <c r="AQ240" i="15" s="1"/>
  <c r="AJ33" i="15"/>
  <c r="AN33" i="15" s="1"/>
  <c r="AP33" i="15" s="1"/>
  <c r="AK198" i="15"/>
  <c r="AO198" i="15" s="1"/>
  <c r="BD198" i="15" s="1"/>
  <c r="AK30" i="15"/>
  <c r="AO30" i="15" s="1"/>
  <c r="BD30" i="15" s="1"/>
  <c r="AJ171" i="15"/>
  <c r="AN171" i="15" s="1"/>
  <c r="AP171" i="15" s="1"/>
  <c r="AJ238" i="15"/>
  <c r="AN238" i="15" s="1"/>
  <c r="BC238" i="15" s="1"/>
  <c r="AK39" i="15"/>
  <c r="AO39" i="15" s="1"/>
  <c r="AQ39" i="15" s="1"/>
  <c r="AJ241" i="15"/>
  <c r="AN241" i="15" s="1"/>
  <c r="BC241" i="15" s="1"/>
  <c r="AK58" i="15"/>
  <c r="AO58" i="15" s="1"/>
  <c r="AQ58" i="15" s="1"/>
  <c r="AK197" i="15"/>
  <c r="AO197" i="15" s="1"/>
  <c r="BD197" i="15" s="1"/>
  <c r="AK199" i="15"/>
  <c r="AO199" i="15" s="1"/>
  <c r="AQ199" i="15" s="1"/>
  <c r="AJ28" i="15"/>
  <c r="AN28" i="15" s="1"/>
  <c r="BC28" i="15" s="1"/>
  <c r="AP234" i="15"/>
  <c r="BC234" i="15"/>
  <c r="AK304" i="15"/>
  <c r="AO304" i="15" s="1"/>
  <c r="AQ304" i="15" s="1"/>
  <c r="AJ124" i="15"/>
  <c r="AN124" i="15" s="1"/>
  <c r="BC124" i="15" s="1"/>
  <c r="AJ80" i="15"/>
  <c r="AN80" i="15" s="1"/>
  <c r="AP80" i="15" s="1"/>
  <c r="AK149" i="15"/>
  <c r="AO149" i="15" s="1"/>
  <c r="AQ149" i="15" s="1"/>
  <c r="AK117" i="15"/>
  <c r="AO117" i="15" s="1"/>
  <c r="BD117" i="15" s="1"/>
  <c r="AK234" i="15"/>
  <c r="AO234" i="15" s="1"/>
  <c r="BD234" i="15" s="1"/>
  <c r="AK84" i="15"/>
  <c r="AO84" i="15" s="1"/>
  <c r="AQ84" i="15" s="1"/>
  <c r="AK311" i="15"/>
  <c r="AO311" i="15" s="1"/>
  <c r="AQ311" i="15" s="1"/>
  <c r="AJ158" i="15"/>
  <c r="AN158" i="15" s="1"/>
  <c r="BC158" i="15" s="1"/>
  <c r="AQ407" i="15"/>
  <c r="AK52" i="15"/>
  <c r="AO52" i="15" s="1"/>
  <c r="AQ52" i="15" s="1"/>
  <c r="AJ40" i="15"/>
  <c r="AN40" i="15" s="1"/>
  <c r="AP40" i="15" s="1"/>
  <c r="AJ170" i="15"/>
  <c r="AN170" i="15" s="1"/>
  <c r="AP170" i="15" s="1"/>
  <c r="AK25" i="15"/>
  <c r="AO25" i="15" s="1"/>
  <c r="AQ25" i="15" s="1"/>
  <c r="AJ290" i="15"/>
  <c r="AN290" i="15" s="1"/>
  <c r="BC290" i="15" s="1"/>
  <c r="AJ56" i="15"/>
  <c r="AN56" i="15" s="1"/>
  <c r="BC56" i="15" s="1"/>
  <c r="AK203" i="15"/>
  <c r="AO203" i="15" s="1"/>
  <c r="AQ203" i="15" s="1"/>
  <c r="AK255" i="15"/>
  <c r="AO255" i="15" s="1"/>
  <c r="AQ255" i="15" s="1"/>
  <c r="AK12" i="15"/>
  <c r="AO12" i="15" s="1"/>
  <c r="BD12" i="15" s="1"/>
  <c r="AK354" i="15"/>
  <c r="AO354" i="15" s="1"/>
  <c r="BD354" i="15" s="1"/>
  <c r="AJ211" i="15"/>
  <c r="AN211" i="15" s="1"/>
  <c r="BC211" i="15" s="1"/>
  <c r="AK160" i="15"/>
  <c r="AO160" i="15" s="1"/>
  <c r="BD160" i="15" s="1"/>
  <c r="P39" i="7"/>
  <c r="J28" i="10" s="1"/>
  <c r="P26" i="7"/>
  <c r="P41" i="7"/>
  <c r="J30" i="10" s="1"/>
  <c r="K30" i="10" s="1"/>
  <c r="M30" i="10" s="1"/>
  <c r="P43" i="7"/>
  <c r="J32" i="10" s="1"/>
  <c r="K32" i="10" s="1"/>
  <c r="M32" i="10" s="1"/>
  <c r="P36" i="7"/>
  <c r="J25" i="10" s="1"/>
  <c r="P27" i="7"/>
  <c r="J16" i="10" s="1"/>
  <c r="AN11" i="16"/>
  <c r="AP386" i="15"/>
  <c r="BC374" i="15"/>
  <c r="AK345" i="15"/>
  <c r="AO345" i="15" s="1"/>
  <c r="AQ345" i="15" s="1"/>
  <c r="AJ351" i="15"/>
  <c r="AN351" i="15" s="1"/>
  <c r="BC351" i="15" s="1"/>
  <c r="AK172" i="15"/>
  <c r="AO172" i="15" s="1"/>
  <c r="BD172" i="15" s="1"/>
  <c r="BD507" i="15"/>
  <c r="BC501" i="15"/>
  <c r="AP12" i="15"/>
  <c r="BD98" i="15"/>
  <c r="BD33" i="15"/>
  <c r="AB19" i="16"/>
  <c r="AD19" i="16" s="1"/>
  <c r="AM19" i="16" s="1"/>
  <c r="AC70" i="16"/>
  <c r="AE70" i="16" s="1"/>
  <c r="AN70" i="16" s="1"/>
  <c r="AC45" i="16"/>
  <c r="AE45" i="16" s="1"/>
  <c r="AN45" i="16" s="1"/>
  <c r="AC36" i="16"/>
  <c r="AE36" i="16" s="1"/>
  <c r="AN36" i="16" s="1"/>
  <c r="AB39" i="16"/>
  <c r="AD39" i="16" s="1"/>
  <c r="AM39" i="16" s="1"/>
  <c r="AB11" i="16"/>
  <c r="AD11" i="16" s="1"/>
  <c r="AC13" i="16"/>
  <c r="AE13" i="16" s="1"/>
  <c r="AN13" i="16" s="1"/>
  <c r="AB71" i="16"/>
  <c r="AD71" i="16" s="1"/>
  <c r="AM71" i="16" s="1"/>
  <c r="AC15" i="16"/>
  <c r="AE15" i="16" s="1"/>
  <c r="AN15" i="16" s="1"/>
  <c r="AC24" i="16"/>
  <c r="AE24" i="16" s="1"/>
  <c r="AN24" i="16" s="1"/>
  <c r="AC64" i="16"/>
  <c r="AE64" i="16" s="1"/>
  <c r="AN64" i="16" s="1"/>
  <c r="AC17" i="16"/>
  <c r="AE17" i="16" s="1"/>
  <c r="AN17" i="16" s="1"/>
  <c r="AC58" i="16"/>
  <c r="AE58" i="16" s="1"/>
  <c r="AN58" i="16" s="1"/>
  <c r="AB52" i="16"/>
  <c r="AD52" i="16" s="1"/>
  <c r="AM52" i="16" s="1"/>
  <c r="AB48" i="16"/>
  <c r="AD48" i="16" s="1"/>
  <c r="AM48" i="16" s="1"/>
  <c r="AC48" i="16"/>
  <c r="AE48" i="16" s="1"/>
  <c r="AN48" i="16" s="1"/>
  <c r="AB51" i="16"/>
  <c r="AD51" i="16" s="1"/>
  <c r="AM51" i="16" s="1"/>
  <c r="AC51" i="16"/>
  <c r="AE51" i="16" s="1"/>
  <c r="AN51" i="16" s="1"/>
  <c r="AB16" i="16"/>
  <c r="AD16" i="16" s="1"/>
  <c r="AM16" i="16" s="1"/>
  <c r="AC69" i="16"/>
  <c r="AE69" i="16" s="1"/>
  <c r="AN69" i="16" s="1"/>
  <c r="AB33" i="16"/>
  <c r="AD33" i="16" s="1"/>
  <c r="AM33" i="16" s="1"/>
  <c r="AB22" i="16"/>
  <c r="AD22" i="16" s="1"/>
  <c r="AM22" i="16" s="1"/>
  <c r="AB40" i="16"/>
  <c r="AD40" i="16" s="1"/>
  <c r="AM40" i="16" s="1"/>
  <c r="AB67" i="16"/>
  <c r="AD67" i="16" s="1"/>
  <c r="AM67" i="16" s="1"/>
  <c r="AC49" i="16"/>
  <c r="AE49" i="16" s="1"/>
  <c r="AN49" i="16" s="1"/>
  <c r="AF104" i="16"/>
  <c r="N12" i="7" s="1"/>
  <c r="AB68" i="16"/>
  <c r="AD68" i="16" s="1"/>
  <c r="AM68" i="16" s="1"/>
  <c r="AC68" i="16"/>
  <c r="AE68" i="16" s="1"/>
  <c r="AN68" i="16" s="1"/>
  <c r="AB42" i="16"/>
  <c r="AD42" i="16" s="1"/>
  <c r="AC42" i="16"/>
  <c r="AE42" i="16" s="1"/>
  <c r="AB60" i="16"/>
  <c r="AD60" i="16" s="1"/>
  <c r="AM60" i="16" s="1"/>
  <c r="AC60" i="16"/>
  <c r="AE60" i="16" s="1"/>
  <c r="AN60" i="16" s="1"/>
  <c r="AC59" i="16"/>
  <c r="AE59" i="16" s="1"/>
  <c r="AN59" i="16" s="1"/>
  <c r="AB59" i="16"/>
  <c r="AD59" i="16" s="1"/>
  <c r="AM59" i="16" s="1"/>
  <c r="AC26" i="16"/>
  <c r="AE26" i="16" s="1"/>
  <c r="AN26" i="16" s="1"/>
  <c r="AB26" i="16"/>
  <c r="AD26" i="16" s="1"/>
  <c r="AM26" i="16" s="1"/>
  <c r="AB62" i="16"/>
  <c r="AD62" i="16" s="1"/>
  <c r="AM62" i="16" s="1"/>
  <c r="AC62" i="16"/>
  <c r="AE62" i="16" s="1"/>
  <c r="AN62" i="16" s="1"/>
  <c r="AC38" i="16"/>
  <c r="AE38" i="16" s="1"/>
  <c r="AN38" i="16" s="1"/>
  <c r="AC66" i="16"/>
  <c r="AE66" i="16" s="1"/>
  <c r="AN66" i="16" s="1"/>
  <c r="AB66" i="16"/>
  <c r="AD66" i="16" s="1"/>
  <c r="AM66" i="16" s="1"/>
  <c r="AK68" i="15"/>
  <c r="AO68" i="15" s="1"/>
  <c r="AQ68" i="15" s="1"/>
  <c r="AK89" i="15"/>
  <c r="AO89" i="15" s="1"/>
  <c r="BD89" i="15" s="1"/>
  <c r="AK219" i="15"/>
  <c r="AO219" i="15" s="1"/>
  <c r="AQ219" i="15" s="1"/>
  <c r="AK309" i="15"/>
  <c r="AO309" i="15" s="1"/>
  <c r="BD309" i="15" s="1"/>
  <c r="P29" i="7"/>
  <c r="P32" i="7"/>
  <c r="AJ322" i="15"/>
  <c r="AN322" i="15" s="1"/>
  <c r="AP322" i="15" s="1"/>
  <c r="P38" i="7"/>
  <c r="AK281" i="15"/>
  <c r="AO281" i="15" s="1"/>
  <c r="BD281" i="15" s="1"/>
  <c r="P34" i="7"/>
  <c r="J23" i="10" s="1"/>
  <c r="AJ102" i="15"/>
  <c r="AN102" i="15" s="1"/>
  <c r="AP102" i="15" s="1"/>
  <c r="AJ27" i="15"/>
  <c r="AN27" i="15" s="1"/>
  <c r="BC27" i="15" s="1"/>
  <c r="AJ287" i="15"/>
  <c r="AN287" i="15" s="1"/>
  <c r="AP287" i="15" s="1"/>
  <c r="BC191" i="15"/>
  <c r="BC304" i="15"/>
  <c r="BD436" i="15"/>
  <c r="BD140" i="15"/>
  <c r="AQ64" i="15"/>
  <c r="AP404" i="15"/>
  <c r="BD40" i="15"/>
  <c r="AP412" i="15"/>
  <c r="AQ177" i="15"/>
  <c r="AP134" i="15"/>
  <c r="AQ173" i="15"/>
  <c r="AP411" i="15"/>
  <c r="BC492" i="15"/>
  <c r="AP485" i="15"/>
  <c r="AP429" i="15"/>
  <c r="BD405" i="15"/>
  <c r="BC407" i="15"/>
  <c r="BC396" i="15"/>
  <c r="AP397" i="15"/>
  <c r="BC400" i="15"/>
  <c r="AQ383" i="15"/>
  <c r="BC377" i="15"/>
  <c r="BD42" i="15"/>
  <c r="AP183" i="15"/>
  <c r="AQ298" i="15"/>
  <c r="BC425" i="15"/>
  <c r="BD369" i="15"/>
  <c r="BD475" i="15"/>
  <c r="AP98" i="15"/>
  <c r="BD406" i="15"/>
  <c r="AP417" i="15"/>
  <c r="AP373" i="15"/>
  <c r="AQ410" i="15"/>
  <c r="BC463" i="15"/>
  <c r="AJ327" i="15"/>
  <c r="AN327" i="15" s="1"/>
  <c r="BC327" i="15" s="1"/>
  <c r="AK295" i="15"/>
  <c r="AO295" i="15" s="1"/>
  <c r="AQ295" i="15" s="1"/>
  <c r="BD488" i="15"/>
  <c r="BD511" i="15"/>
  <c r="BC66" i="15"/>
  <c r="AK168" i="15"/>
  <c r="AO168" i="15" s="1"/>
  <c r="AQ168" i="15" s="1"/>
  <c r="AK242" i="15"/>
  <c r="AO242" i="15" s="1"/>
  <c r="AQ242" i="15" s="1"/>
  <c r="AQ80" i="15"/>
  <c r="AJ155" i="15"/>
  <c r="AN155" i="15" s="1"/>
  <c r="AP155" i="15" s="1"/>
  <c r="AJ133" i="15"/>
  <c r="AN133" i="15" s="1"/>
  <c r="AP133" i="15" s="1"/>
  <c r="BD131" i="15"/>
  <c r="AK86" i="15"/>
  <c r="AO86" i="15" s="1"/>
  <c r="AQ86" i="15" s="1"/>
  <c r="AK146" i="15"/>
  <c r="AO146" i="15" s="1"/>
  <c r="BD146" i="15" s="1"/>
  <c r="AK252" i="15"/>
  <c r="AO252" i="15" s="1"/>
  <c r="BD252" i="15" s="1"/>
  <c r="BC146" i="15"/>
  <c r="AQ31" i="15"/>
  <c r="AK195" i="15"/>
  <c r="AO195" i="15" s="1"/>
  <c r="AQ195" i="15" s="1"/>
  <c r="BC195" i="15"/>
  <c r="AP195" i="15"/>
  <c r="AQ108" i="15"/>
  <c r="BD108" i="15"/>
  <c r="BC385" i="15"/>
  <c r="BD395" i="15"/>
  <c r="BC87" i="15"/>
  <c r="BC451" i="15"/>
  <c r="AJ229" i="15"/>
  <c r="AN229" i="15" s="1"/>
  <c r="AP229" i="15" s="1"/>
  <c r="AJ108" i="15"/>
  <c r="AN108" i="15" s="1"/>
  <c r="BC108" i="15" s="1"/>
  <c r="AJ317" i="15"/>
  <c r="AN317" i="15" s="1"/>
  <c r="AP317" i="15" s="1"/>
  <c r="BC480" i="15"/>
  <c r="BC490" i="15"/>
  <c r="BD456" i="15"/>
  <c r="AK92" i="15"/>
  <c r="AO92" i="15" s="1"/>
  <c r="BD92" i="15" s="1"/>
  <c r="AK224" i="15"/>
  <c r="AO224" i="15" s="1"/>
  <c r="BD224" i="15" s="1"/>
  <c r="BC233" i="15"/>
  <c r="AP127" i="15"/>
  <c r="P37" i="7"/>
  <c r="AJ347" i="15"/>
  <c r="AN347" i="15" s="1"/>
  <c r="AP347" i="15" s="1"/>
  <c r="P35" i="7"/>
  <c r="J24" i="10" s="1"/>
  <c r="P44" i="7"/>
  <c r="J33" i="10" s="1"/>
  <c r="K33" i="10" s="1"/>
  <c r="M33" i="10" s="1"/>
  <c r="AJ321" i="15"/>
  <c r="AN321" i="15" s="1"/>
  <c r="AP321" i="15" s="1"/>
  <c r="P40" i="7"/>
  <c r="P28" i="7"/>
  <c r="J17" i="10" s="1"/>
  <c r="BD297" i="15"/>
  <c r="AJ193" i="15"/>
  <c r="AN193" i="15" s="1"/>
  <c r="BC193" i="15" s="1"/>
  <c r="P33" i="7"/>
  <c r="P31" i="7"/>
  <c r="J20" i="10" s="1"/>
  <c r="AJ99" i="15"/>
  <c r="AN99" i="15" s="1"/>
  <c r="BC99" i="15" s="1"/>
  <c r="P30" i="7"/>
  <c r="J19" i="10" s="1"/>
  <c r="P42" i="7"/>
  <c r="AK338" i="15"/>
  <c r="AO338" i="15" s="1"/>
  <c r="BD338" i="15" s="1"/>
  <c r="AK245" i="15"/>
  <c r="AO245" i="15" s="1"/>
  <c r="BD245" i="15" s="1"/>
  <c r="AJ45" i="15"/>
  <c r="AN45" i="15" s="1"/>
  <c r="BC45" i="15" s="1"/>
  <c r="AJ140" i="15"/>
  <c r="AN140" i="15" s="1"/>
  <c r="BC140" i="15" s="1"/>
  <c r="BC254" i="15"/>
  <c r="AP254" i="15"/>
  <c r="BD214" i="15"/>
  <c r="AQ214" i="15"/>
  <c r="AJ194" i="15"/>
  <c r="AN194" i="15" s="1"/>
  <c r="AP194" i="15" s="1"/>
  <c r="AJ323" i="15"/>
  <c r="AN323" i="15" s="1"/>
  <c r="AP323" i="15" s="1"/>
  <c r="AJ306" i="15"/>
  <c r="AN306" i="15" s="1"/>
  <c r="AK359" i="15"/>
  <c r="AO359" i="15" s="1"/>
  <c r="BD359" i="15" s="1"/>
  <c r="AK274" i="15"/>
  <c r="AO274" i="15" s="1"/>
  <c r="AQ274" i="15" s="1"/>
  <c r="BD480" i="15"/>
  <c r="AJ214" i="15"/>
  <c r="AN214" i="15" s="1"/>
  <c r="BC214" i="15" s="1"/>
  <c r="AK100" i="15"/>
  <c r="AO100" i="15" s="1"/>
  <c r="AJ100" i="15"/>
  <c r="AN100" i="15" s="1"/>
  <c r="BC100" i="15" s="1"/>
  <c r="AJ186" i="15"/>
  <c r="AN186" i="15" s="1"/>
  <c r="BC186" i="15" s="1"/>
  <c r="AK186" i="15"/>
  <c r="AO186" i="15" s="1"/>
  <c r="BD186" i="15" s="1"/>
  <c r="AJ356" i="15"/>
  <c r="AN356" i="15" s="1"/>
  <c r="AP356" i="15" s="1"/>
  <c r="AK356" i="15"/>
  <c r="AO356" i="15" s="1"/>
  <c r="AK72" i="15"/>
  <c r="AO72" i="15" s="1"/>
  <c r="BD72" i="15" s="1"/>
  <c r="AJ72" i="15"/>
  <c r="AN72" i="15" s="1"/>
  <c r="AK82" i="15"/>
  <c r="AO82" i="15" s="1"/>
  <c r="AQ82" i="15" s="1"/>
  <c r="AJ82" i="15"/>
  <c r="AN82" i="15" s="1"/>
  <c r="BC82" i="15" s="1"/>
  <c r="AK73" i="15"/>
  <c r="AO73" i="15" s="1"/>
  <c r="BD73" i="15" s="1"/>
  <c r="AJ73" i="15"/>
  <c r="AN73" i="15" s="1"/>
  <c r="BC73" i="15" s="1"/>
  <c r="AK217" i="15"/>
  <c r="AO217" i="15" s="1"/>
  <c r="AJ217" i="15"/>
  <c r="AN217" i="15" s="1"/>
  <c r="BC217" i="15" s="1"/>
  <c r="AK315" i="15"/>
  <c r="AO315" i="15" s="1"/>
  <c r="AJ315" i="15"/>
  <c r="AN315" i="15" s="1"/>
  <c r="AP315" i="15" s="1"/>
  <c r="AK105" i="15"/>
  <c r="AO105" i="15" s="1"/>
  <c r="AQ105" i="15" s="1"/>
  <c r="AJ105" i="15"/>
  <c r="AN105" i="15" s="1"/>
  <c r="AK337" i="15"/>
  <c r="AO337" i="15" s="1"/>
  <c r="BD337" i="15" s="1"/>
  <c r="AJ337" i="15"/>
  <c r="AN337" i="15" s="1"/>
  <c r="AP337" i="15" s="1"/>
  <c r="AK26" i="15"/>
  <c r="AO26" i="15" s="1"/>
  <c r="AQ26" i="15" s="1"/>
  <c r="AJ26" i="15"/>
  <c r="AN26" i="15" s="1"/>
  <c r="BC26" i="15" s="1"/>
  <c r="AK299" i="15"/>
  <c r="AO299" i="15" s="1"/>
  <c r="AQ299" i="15" s="1"/>
  <c r="AJ299" i="15"/>
  <c r="AN299" i="15" s="1"/>
  <c r="BD124" i="15"/>
  <c r="AQ124" i="15"/>
  <c r="AJ189" i="15"/>
  <c r="AN189" i="15" s="1"/>
  <c r="AP189" i="15" s="1"/>
  <c r="BD90" i="15"/>
  <c r="AQ90" i="15"/>
  <c r="AJ50" i="15"/>
  <c r="AN50" i="15" s="1"/>
  <c r="AP50" i="15" s="1"/>
  <c r="AK50" i="15"/>
  <c r="AO50" i="15" s="1"/>
  <c r="BD50" i="15" s="1"/>
  <c r="AJ16" i="15"/>
  <c r="AN16" i="15" s="1"/>
  <c r="BC16" i="15" s="1"/>
  <c r="AK16" i="15"/>
  <c r="AO16" i="15" s="1"/>
  <c r="AQ16" i="15" s="1"/>
  <c r="AJ166" i="15"/>
  <c r="AN166" i="15" s="1"/>
  <c r="AK166" i="15"/>
  <c r="AO166" i="15" s="1"/>
  <c r="AQ166" i="15" s="1"/>
  <c r="AK257" i="15"/>
  <c r="AO257" i="15" s="1"/>
  <c r="BD257" i="15" s="1"/>
  <c r="AJ257" i="15"/>
  <c r="AN257" i="15" s="1"/>
  <c r="BC257" i="15" s="1"/>
  <c r="AK342" i="15"/>
  <c r="AO342" i="15" s="1"/>
  <c r="AQ342" i="15" s="1"/>
  <c r="AJ342" i="15"/>
  <c r="AN342" i="15" s="1"/>
  <c r="BC342" i="15" s="1"/>
  <c r="AJ228" i="15"/>
  <c r="AN228" i="15" s="1"/>
  <c r="AK228" i="15"/>
  <c r="AO228" i="15" s="1"/>
  <c r="AQ228" i="15" s="1"/>
  <c r="AK115" i="15"/>
  <c r="AO115" i="15" s="1"/>
  <c r="AJ115" i="15"/>
  <c r="AN115" i="15" s="1"/>
  <c r="BC115" i="15" s="1"/>
  <c r="AK47" i="15"/>
  <c r="AO47" i="15" s="1"/>
  <c r="AQ47" i="15" s="1"/>
  <c r="AJ47" i="15"/>
  <c r="AN47" i="15" s="1"/>
  <c r="BC47" i="15" s="1"/>
  <c r="AK143" i="15"/>
  <c r="AO143" i="15" s="1"/>
  <c r="AJ143" i="15"/>
  <c r="AN143" i="15" s="1"/>
  <c r="BC143" i="15" s="1"/>
  <c r="AJ320" i="15"/>
  <c r="AN320" i="15" s="1"/>
  <c r="BC320" i="15" s="1"/>
  <c r="AK320" i="15"/>
  <c r="AO320" i="15" s="1"/>
  <c r="AQ320" i="15" s="1"/>
  <c r="AJ206" i="15"/>
  <c r="AN206" i="15" s="1"/>
  <c r="AP206" i="15" s="1"/>
  <c r="AK206" i="15"/>
  <c r="AO206" i="15" s="1"/>
  <c r="AQ206" i="15" s="1"/>
  <c r="AJ283" i="15"/>
  <c r="AN283" i="15" s="1"/>
  <c r="BC283" i="15" s="1"/>
  <c r="AK283" i="15"/>
  <c r="AO283" i="15" s="1"/>
  <c r="BD283" i="15" s="1"/>
  <c r="AK107" i="15"/>
  <c r="AO107" i="15" s="1"/>
  <c r="BD107" i="15" s="1"/>
  <c r="AJ107" i="15"/>
  <c r="AN107" i="15" s="1"/>
  <c r="BC107" i="15" s="1"/>
  <c r="AJ37" i="15"/>
  <c r="AN37" i="15" s="1"/>
  <c r="AP37" i="15" s="1"/>
  <c r="AK37" i="15"/>
  <c r="AO37" i="15" s="1"/>
  <c r="AQ37" i="15" s="1"/>
  <c r="AK125" i="15"/>
  <c r="AO125" i="15" s="1"/>
  <c r="AJ125" i="15"/>
  <c r="AN125" i="15" s="1"/>
  <c r="AK289" i="15"/>
  <c r="AO289" i="15" s="1"/>
  <c r="AQ289" i="15" s="1"/>
  <c r="AJ289" i="15"/>
  <c r="AN289" i="15" s="1"/>
  <c r="BC289" i="15" s="1"/>
  <c r="AK169" i="15"/>
  <c r="AO169" i="15" s="1"/>
  <c r="BD169" i="15" s="1"/>
  <c r="AJ169" i="15"/>
  <c r="AN169" i="15" s="1"/>
  <c r="BC169" i="15" s="1"/>
  <c r="AJ260" i="15"/>
  <c r="AN260" i="15" s="1"/>
  <c r="AK260" i="15"/>
  <c r="AO260" i="15" s="1"/>
  <c r="BD260" i="15" s="1"/>
  <c r="AJ91" i="15"/>
  <c r="AN91" i="15" s="1"/>
  <c r="AK91" i="15"/>
  <c r="AO91" i="15" s="1"/>
  <c r="AQ91" i="15" s="1"/>
  <c r="AK15" i="15"/>
  <c r="AO15" i="15" s="1"/>
  <c r="AQ15" i="15" s="1"/>
  <c r="AJ15" i="15"/>
  <c r="AN15" i="15" s="1"/>
  <c r="AP15" i="15" s="1"/>
  <c r="AK94" i="15"/>
  <c r="AO94" i="15" s="1"/>
  <c r="AJ94" i="15"/>
  <c r="AN94" i="15" s="1"/>
  <c r="BC94" i="15" s="1"/>
  <c r="AK288" i="15"/>
  <c r="AO288" i="15" s="1"/>
  <c r="BD288" i="15" s="1"/>
  <c r="AJ288" i="15"/>
  <c r="AN288" i="15" s="1"/>
  <c r="AJ187" i="15"/>
  <c r="AN187" i="15" s="1"/>
  <c r="AP187" i="15" s="1"/>
  <c r="AK187" i="15"/>
  <c r="AO187" i="15" s="1"/>
  <c r="AQ187" i="15" s="1"/>
  <c r="AK65" i="15"/>
  <c r="AO65" i="15" s="1"/>
  <c r="AJ65" i="15"/>
  <c r="AN65" i="15" s="1"/>
  <c r="AP65" i="15" s="1"/>
  <c r="AK145" i="15"/>
  <c r="AO145" i="15" s="1"/>
  <c r="BD145" i="15" s="1"/>
  <c r="AJ145" i="15"/>
  <c r="AN145" i="15" s="1"/>
  <c r="AJ209" i="15"/>
  <c r="AN209" i="15" s="1"/>
  <c r="AK209" i="15"/>
  <c r="AO209" i="15" s="1"/>
  <c r="BD209" i="15" s="1"/>
  <c r="AJ294" i="15"/>
  <c r="AN294" i="15" s="1"/>
  <c r="BC294" i="15" s="1"/>
  <c r="AK294" i="15"/>
  <c r="AO294" i="15" s="1"/>
  <c r="BD294" i="15" s="1"/>
  <c r="AK307" i="15"/>
  <c r="AO307" i="15" s="1"/>
  <c r="AQ307" i="15" s="1"/>
  <c r="AJ307" i="15"/>
  <c r="AN307" i="15" s="1"/>
  <c r="BC307" i="15" s="1"/>
  <c r="AK20" i="15"/>
  <c r="AO20" i="15" s="1"/>
  <c r="AQ20" i="15" s="1"/>
  <c r="AJ20" i="15"/>
  <c r="AN20" i="15" s="1"/>
  <c r="BC20" i="15" s="1"/>
  <c r="AK46" i="15"/>
  <c r="AO46" i="15" s="1"/>
  <c r="AQ46" i="15" s="1"/>
  <c r="AJ46" i="15"/>
  <c r="AN46" i="15" s="1"/>
  <c r="AK208" i="15"/>
  <c r="AO208" i="15" s="1"/>
  <c r="AJ208" i="15"/>
  <c r="AN208" i="15" s="1"/>
  <c r="BC208" i="15" s="1"/>
  <c r="AJ293" i="15"/>
  <c r="AN293" i="15" s="1"/>
  <c r="AK293" i="15"/>
  <c r="AO293" i="15" s="1"/>
  <c r="AQ293" i="15" s="1"/>
  <c r="AJ120" i="15"/>
  <c r="AN120" i="15" s="1"/>
  <c r="AP120" i="15" s="1"/>
  <c r="AK120" i="15"/>
  <c r="AO120" i="15" s="1"/>
  <c r="BD120" i="15" s="1"/>
  <c r="AK271" i="15"/>
  <c r="AO271" i="15" s="1"/>
  <c r="BD271" i="15" s="1"/>
  <c r="AJ271" i="15"/>
  <c r="AN271" i="15" s="1"/>
  <c r="AP271" i="15" s="1"/>
  <c r="AK104" i="15"/>
  <c r="AO104" i="15" s="1"/>
  <c r="AJ104" i="15"/>
  <c r="AN104" i="15" s="1"/>
  <c r="BC104" i="15" s="1"/>
  <c r="AJ162" i="15"/>
  <c r="AN162" i="15" s="1"/>
  <c r="AP162" i="15" s="1"/>
  <c r="AK162" i="15"/>
  <c r="AO162" i="15" s="1"/>
  <c r="AQ162" i="15" s="1"/>
  <c r="AJ60" i="15"/>
  <c r="AN60" i="15" s="1"/>
  <c r="AP60" i="15" s="1"/>
  <c r="AK60" i="15"/>
  <c r="AO60" i="15" s="1"/>
  <c r="AQ60" i="15" s="1"/>
  <c r="AK154" i="15"/>
  <c r="AO154" i="15" s="1"/>
  <c r="BD154" i="15" s="1"/>
  <c r="AJ154" i="15"/>
  <c r="AN154" i="15" s="1"/>
  <c r="BC154" i="15" s="1"/>
  <c r="AK218" i="15"/>
  <c r="AO218" i="15" s="1"/>
  <c r="BD218" i="15" s="1"/>
  <c r="AJ218" i="15"/>
  <c r="AN218" i="15" s="1"/>
  <c r="AP218" i="15" s="1"/>
  <c r="AK303" i="15"/>
  <c r="AO303" i="15" s="1"/>
  <c r="AJ303" i="15"/>
  <c r="AN303" i="15" s="1"/>
  <c r="BC303" i="15" s="1"/>
  <c r="AK157" i="15"/>
  <c r="AO157" i="15" s="1"/>
  <c r="BD157" i="15" s="1"/>
  <c r="AJ157" i="15"/>
  <c r="AN157" i="15" s="1"/>
  <c r="AJ302" i="15"/>
  <c r="AN302" i="15" s="1"/>
  <c r="BC302" i="15" s="1"/>
  <c r="AK302" i="15"/>
  <c r="AO302" i="15" s="1"/>
  <c r="AQ302" i="15" s="1"/>
  <c r="AK147" i="15"/>
  <c r="AO147" i="15" s="1"/>
  <c r="AQ147" i="15" s="1"/>
  <c r="AJ147" i="15"/>
  <c r="AN147" i="15" s="1"/>
  <c r="AJ223" i="15"/>
  <c r="AN223" i="15" s="1"/>
  <c r="BC223" i="15" s="1"/>
  <c r="AK223" i="15"/>
  <c r="AO223" i="15" s="1"/>
  <c r="BD223" i="15" s="1"/>
  <c r="AK334" i="15"/>
  <c r="AO334" i="15" s="1"/>
  <c r="AJ334" i="15"/>
  <c r="AN334" i="15" s="1"/>
  <c r="AP334" i="15" s="1"/>
  <c r="AJ63" i="15"/>
  <c r="AN63" i="15" s="1"/>
  <c r="AP63" i="15" s="1"/>
  <c r="AK63" i="15"/>
  <c r="AO63" i="15" s="1"/>
  <c r="AQ63" i="15" s="1"/>
  <c r="AP491" i="15"/>
  <c r="BC491" i="15"/>
  <c r="AJ220" i="15"/>
  <c r="AN220" i="15" s="1"/>
  <c r="AP220" i="15" s="1"/>
  <c r="AQ268" i="15"/>
  <c r="BD268" i="15"/>
  <c r="BD319" i="15"/>
  <c r="AQ319" i="15"/>
  <c r="AJ249" i="15"/>
  <c r="AN249" i="15" s="1"/>
  <c r="AP249" i="15" s="1"/>
  <c r="AK249" i="15"/>
  <c r="AO249" i="15" s="1"/>
  <c r="BD249" i="15" s="1"/>
  <c r="AK222" i="15"/>
  <c r="AO222" i="15" s="1"/>
  <c r="AQ222" i="15" s="1"/>
  <c r="AJ222" i="15"/>
  <c r="AN222" i="15" s="1"/>
  <c r="BC222" i="15" s="1"/>
  <c r="AP168" i="15"/>
  <c r="BC168" i="15"/>
  <c r="AJ244" i="15"/>
  <c r="AN244" i="15" s="1"/>
  <c r="AP244" i="15" s="1"/>
  <c r="AK336" i="15"/>
  <c r="AO336" i="15" s="1"/>
  <c r="BD336" i="15" s="1"/>
  <c r="AJ336" i="15"/>
  <c r="AN336" i="15" s="1"/>
  <c r="AQ226" i="15"/>
  <c r="BD387" i="15"/>
  <c r="AQ387" i="15"/>
  <c r="AK121" i="15"/>
  <c r="AO121" i="15" s="1"/>
  <c r="BD121" i="15" s="1"/>
  <c r="AJ121" i="15"/>
  <c r="AN121" i="15" s="1"/>
  <c r="AP121" i="15" s="1"/>
  <c r="AJ49" i="15"/>
  <c r="AN49" i="15" s="1"/>
  <c r="AP49" i="15" s="1"/>
  <c r="AK49" i="15"/>
  <c r="AO49" i="15" s="1"/>
  <c r="AQ49" i="15" s="1"/>
  <c r="AJ130" i="15"/>
  <c r="AN130" i="15" s="1"/>
  <c r="BC130" i="15" s="1"/>
  <c r="AK130" i="15"/>
  <c r="AO130" i="15" s="1"/>
  <c r="BD130" i="15" s="1"/>
  <c r="AJ207" i="15"/>
  <c r="AN207" i="15" s="1"/>
  <c r="AP207" i="15" s="1"/>
  <c r="AK207" i="15"/>
  <c r="AO207" i="15" s="1"/>
  <c r="BD207" i="15" s="1"/>
  <c r="AJ292" i="15"/>
  <c r="AN292" i="15" s="1"/>
  <c r="AP292" i="15" s="1"/>
  <c r="AK292" i="15"/>
  <c r="AO292" i="15" s="1"/>
  <c r="AQ292" i="15" s="1"/>
  <c r="AK106" i="15"/>
  <c r="AO106" i="15" s="1"/>
  <c r="BD106" i="15" s="1"/>
  <c r="AJ106" i="15"/>
  <c r="AN106" i="15" s="1"/>
  <c r="AP106" i="15" s="1"/>
  <c r="AJ142" i="15"/>
  <c r="AN142" i="15" s="1"/>
  <c r="BC142" i="15" s="1"/>
  <c r="AK142" i="15"/>
  <c r="AO142" i="15" s="1"/>
  <c r="BD142" i="15" s="1"/>
  <c r="AJ185" i="15"/>
  <c r="AN185" i="15" s="1"/>
  <c r="BC185" i="15" s="1"/>
  <c r="AK185" i="15"/>
  <c r="AO185" i="15" s="1"/>
  <c r="AQ185" i="15" s="1"/>
  <c r="AK270" i="15"/>
  <c r="AO270" i="15" s="1"/>
  <c r="AJ270" i="15"/>
  <c r="AN270" i="15" s="1"/>
  <c r="BC270" i="15" s="1"/>
  <c r="AK59" i="15"/>
  <c r="AO59" i="15" s="1"/>
  <c r="BD59" i="15" s="1"/>
  <c r="AJ59" i="15"/>
  <c r="AN59" i="15" s="1"/>
  <c r="AP59" i="15" s="1"/>
  <c r="AK23" i="15"/>
  <c r="AO23" i="15" s="1"/>
  <c r="AJ23" i="15"/>
  <c r="AN23" i="15" s="1"/>
  <c r="AP23" i="15" s="1"/>
  <c r="AK132" i="15"/>
  <c r="AO132" i="15" s="1"/>
  <c r="BD132" i="15" s="1"/>
  <c r="AJ132" i="15"/>
  <c r="AN132" i="15" s="1"/>
  <c r="BC132" i="15" s="1"/>
  <c r="AJ353" i="15"/>
  <c r="AN353" i="15" s="1"/>
  <c r="BC353" i="15" s="1"/>
  <c r="AK353" i="15"/>
  <c r="AO353" i="15" s="1"/>
  <c r="AQ353" i="15" s="1"/>
  <c r="AJ239" i="15"/>
  <c r="AN239" i="15" s="1"/>
  <c r="BC239" i="15" s="1"/>
  <c r="AK239" i="15"/>
  <c r="AO239" i="15" s="1"/>
  <c r="AQ239" i="15" s="1"/>
  <c r="AJ324" i="15"/>
  <c r="AN324" i="15" s="1"/>
  <c r="AP324" i="15" s="1"/>
  <c r="AK324" i="15"/>
  <c r="AO324" i="15" s="1"/>
  <c r="AJ76" i="15"/>
  <c r="AN76" i="15" s="1"/>
  <c r="BC76" i="15" s="1"/>
  <c r="AK76" i="15"/>
  <c r="AO76" i="15" s="1"/>
  <c r="AQ76" i="15" s="1"/>
  <c r="AK352" i="15"/>
  <c r="AO352" i="15" s="1"/>
  <c r="BD352" i="15" s="1"/>
  <c r="AJ352" i="15"/>
  <c r="AN352" i="15" s="1"/>
  <c r="AJ251" i="15"/>
  <c r="AN251" i="15" s="1"/>
  <c r="BC251" i="15" s="1"/>
  <c r="AK251" i="15"/>
  <c r="AO251" i="15" s="1"/>
  <c r="AQ251" i="15" s="1"/>
  <c r="AK13" i="15"/>
  <c r="AO13" i="15" s="1"/>
  <c r="BD13" i="15" s="1"/>
  <c r="AJ13" i="15"/>
  <c r="AN13" i="15" s="1"/>
  <c r="AP13" i="15" s="1"/>
  <c r="AK118" i="15"/>
  <c r="AO118" i="15" s="1"/>
  <c r="BD118" i="15" s="1"/>
  <c r="AJ118" i="15"/>
  <c r="AN118" i="15" s="1"/>
  <c r="AK273" i="15"/>
  <c r="AO273" i="15" s="1"/>
  <c r="AJ273" i="15"/>
  <c r="AN273" i="15" s="1"/>
  <c r="AJ358" i="15"/>
  <c r="AN358" i="15" s="1"/>
  <c r="BC358" i="15" s="1"/>
  <c r="AK358" i="15"/>
  <c r="AO358" i="15" s="1"/>
  <c r="AQ358" i="15" s="1"/>
  <c r="AJ180" i="15"/>
  <c r="AN180" i="15" s="1"/>
  <c r="BC180" i="15" s="1"/>
  <c r="AK180" i="15"/>
  <c r="AO180" i="15" s="1"/>
  <c r="AJ109" i="15"/>
  <c r="AN109" i="15" s="1"/>
  <c r="AK109" i="15"/>
  <c r="AO109" i="15" s="1"/>
  <c r="BD109" i="15" s="1"/>
  <c r="AK36" i="15"/>
  <c r="AO36" i="15" s="1"/>
  <c r="AQ36" i="15" s="1"/>
  <c r="AJ36" i="15"/>
  <c r="AN36" i="15" s="1"/>
  <c r="BC36" i="15" s="1"/>
  <c r="AJ161" i="15"/>
  <c r="AN161" i="15" s="1"/>
  <c r="AK161" i="15"/>
  <c r="AO161" i="15" s="1"/>
  <c r="AQ161" i="15" s="1"/>
  <c r="AJ272" i="15"/>
  <c r="AN272" i="15" s="1"/>
  <c r="AP272" i="15" s="1"/>
  <c r="AK272" i="15"/>
  <c r="AO272" i="15" s="1"/>
  <c r="BD272" i="15" s="1"/>
  <c r="AK357" i="15"/>
  <c r="AO357" i="15" s="1"/>
  <c r="BD357" i="15" s="1"/>
  <c r="AJ357" i="15"/>
  <c r="AN357" i="15" s="1"/>
  <c r="AK235" i="15"/>
  <c r="AO235" i="15" s="1"/>
  <c r="BD235" i="15" s="1"/>
  <c r="AJ235" i="15"/>
  <c r="AN235" i="15" s="1"/>
  <c r="BC235" i="15" s="1"/>
  <c r="AJ51" i="15"/>
  <c r="AN51" i="15" s="1"/>
  <c r="AP51" i="15" s="1"/>
  <c r="AK51" i="15"/>
  <c r="AO51" i="15" s="1"/>
  <c r="AQ51" i="15" s="1"/>
  <c r="AJ55" i="15"/>
  <c r="AN55" i="15" s="1"/>
  <c r="AP55" i="15" s="1"/>
  <c r="AK55" i="15"/>
  <c r="AO55" i="15" s="1"/>
  <c r="AQ55" i="15" s="1"/>
  <c r="AK144" i="15"/>
  <c r="AO144" i="15" s="1"/>
  <c r="AJ144" i="15"/>
  <c r="AN144" i="15" s="1"/>
  <c r="BC144" i="15" s="1"/>
  <c r="AK278" i="15"/>
  <c r="AO278" i="15" s="1"/>
  <c r="BD278" i="15" s="1"/>
  <c r="AJ278" i="15"/>
  <c r="AN278" i="15" s="1"/>
  <c r="BC278" i="15" s="1"/>
  <c r="AJ355" i="15"/>
  <c r="AN355" i="15" s="1"/>
  <c r="AP355" i="15" s="1"/>
  <c r="AK355" i="15"/>
  <c r="AO355" i="15" s="1"/>
  <c r="AQ355" i="15" s="1"/>
  <c r="AK18" i="15"/>
  <c r="AO18" i="15" s="1"/>
  <c r="AQ18" i="15" s="1"/>
  <c r="AJ18" i="15"/>
  <c r="AN18" i="15" s="1"/>
  <c r="AP18" i="15" s="1"/>
  <c r="AK93" i="15"/>
  <c r="AO93" i="15" s="1"/>
  <c r="BD93" i="15" s="1"/>
  <c r="AJ93" i="15"/>
  <c r="AN93" i="15" s="1"/>
  <c r="BC93" i="15" s="1"/>
  <c r="AJ256" i="15"/>
  <c r="AN256" i="15" s="1"/>
  <c r="AP256" i="15" s="1"/>
  <c r="AK256" i="15"/>
  <c r="AO256" i="15" s="1"/>
  <c r="AQ256" i="15" s="1"/>
  <c r="AJ341" i="15"/>
  <c r="AN341" i="15" s="1"/>
  <c r="BC341" i="15" s="1"/>
  <c r="AK341" i="15"/>
  <c r="AO341" i="15" s="1"/>
  <c r="BD341" i="15" s="1"/>
  <c r="AK96" i="15"/>
  <c r="AO96" i="15" s="1"/>
  <c r="AQ96" i="15" s="1"/>
  <c r="AJ96" i="15"/>
  <c r="AN96" i="15" s="1"/>
  <c r="AP96" i="15" s="1"/>
  <c r="AK62" i="15"/>
  <c r="AO62" i="15" s="1"/>
  <c r="AQ62" i="15" s="1"/>
  <c r="AJ62" i="15"/>
  <c r="AN62" i="15" s="1"/>
  <c r="AK148" i="15"/>
  <c r="AO148" i="15" s="1"/>
  <c r="BD148" i="15" s="1"/>
  <c r="AJ148" i="15"/>
  <c r="AN148" i="15" s="1"/>
  <c r="AP148" i="15" s="1"/>
  <c r="AJ225" i="15"/>
  <c r="AN225" i="15" s="1"/>
  <c r="BC225" i="15" s="1"/>
  <c r="AK225" i="15"/>
  <c r="AO225" i="15" s="1"/>
  <c r="AQ225" i="15" s="1"/>
  <c r="AJ310" i="15"/>
  <c r="AN310" i="15" s="1"/>
  <c r="BC310" i="15" s="1"/>
  <c r="AK310" i="15"/>
  <c r="AO310" i="15" s="1"/>
  <c r="AQ310" i="15" s="1"/>
  <c r="AJ196" i="15"/>
  <c r="AN196" i="15" s="1"/>
  <c r="BC196" i="15" s="1"/>
  <c r="AK196" i="15"/>
  <c r="AO196" i="15" s="1"/>
  <c r="AQ196" i="15" s="1"/>
  <c r="AK83" i="15"/>
  <c r="AO83" i="15" s="1"/>
  <c r="BD83" i="15" s="1"/>
  <c r="AJ83" i="15"/>
  <c r="AN83" i="15" s="1"/>
  <c r="AP83" i="15" s="1"/>
  <c r="AJ150" i="15"/>
  <c r="AN150" i="15" s="1"/>
  <c r="AP150" i="15" s="1"/>
  <c r="AK150" i="15"/>
  <c r="AO150" i="15" s="1"/>
  <c r="BD150" i="15" s="1"/>
  <c r="AJ344" i="15"/>
  <c r="AN344" i="15" s="1"/>
  <c r="AK344" i="15"/>
  <c r="AO344" i="15" s="1"/>
  <c r="AQ344" i="15" s="1"/>
  <c r="AK230" i="15"/>
  <c r="AO230" i="15" s="1"/>
  <c r="BD230" i="15" s="1"/>
  <c r="AJ230" i="15"/>
  <c r="AN230" i="15" s="1"/>
  <c r="AP230" i="15" s="1"/>
  <c r="AJ243" i="15"/>
  <c r="AN243" i="15" s="1"/>
  <c r="AK243" i="15"/>
  <c r="AO243" i="15" s="1"/>
  <c r="BD243" i="15" s="1"/>
  <c r="AK54" i="15"/>
  <c r="AO54" i="15" s="1"/>
  <c r="AJ54" i="15"/>
  <c r="AN54" i="15" s="1"/>
  <c r="AJ139" i="15"/>
  <c r="AN139" i="15" s="1"/>
  <c r="BC139" i="15" s="1"/>
  <c r="AK139" i="15"/>
  <c r="AO139" i="15" s="1"/>
  <c r="AJ258" i="15"/>
  <c r="AN258" i="15" s="1"/>
  <c r="AP258" i="15" s="1"/>
  <c r="AK258" i="15"/>
  <c r="AO258" i="15" s="1"/>
  <c r="AQ258" i="15" s="1"/>
  <c r="AK343" i="15"/>
  <c r="AO343" i="15" s="1"/>
  <c r="BD343" i="15" s="1"/>
  <c r="AJ343" i="15"/>
  <c r="AN343" i="15" s="1"/>
  <c r="BC343" i="15" s="1"/>
  <c r="AK101" i="15"/>
  <c r="AO101" i="15" s="1"/>
  <c r="AQ101" i="15" s="1"/>
  <c r="AJ101" i="15"/>
  <c r="AN101" i="15" s="1"/>
  <c r="AJ61" i="15"/>
  <c r="AN61" i="15" s="1"/>
  <c r="AK61" i="15"/>
  <c r="AO61" i="15" s="1"/>
  <c r="AK167" i="15"/>
  <c r="AO167" i="15" s="1"/>
  <c r="AJ167" i="15"/>
  <c r="AN167" i="15" s="1"/>
  <c r="BC167" i="15" s="1"/>
  <c r="AJ328" i="15"/>
  <c r="AN328" i="15" s="1"/>
  <c r="AK328" i="15"/>
  <c r="AO328" i="15" s="1"/>
  <c r="AQ328" i="15" s="1"/>
  <c r="AJ291" i="15"/>
  <c r="AN291" i="15" s="1"/>
  <c r="BC291" i="15" s="1"/>
  <c r="AK291" i="15"/>
  <c r="AO291" i="15" s="1"/>
  <c r="AQ291" i="15" s="1"/>
  <c r="AK53" i="15"/>
  <c r="AO53" i="15" s="1"/>
  <c r="AJ53" i="15"/>
  <c r="AN53" i="15" s="1"/>
  <c r="AP53" i="15" s="1"/>
  <c r="AK110" i="15"/>
  <c r="AO110" i="15" s="1"/>
  <c r="BD110" i="15" s="1"/>
  <c r="AJ110" i="15"/>
  <c r="AN110" i="15" s="1"/>
  <c r="AJ192" i="15"/>
  <c r="AN192" i="15" s="1"/>
  <c r="BC192" i="15" s="1"/>
  <c r="AK192" i="15"/>
  <c r="AO192" i="15" s="1"/>
  <c r="AQ192" i="15" s="1"/>
  <c r="AJ277" i="15"/>
  <c r="AN277" i="15" s="1"/>
  <c r="AP277" i="15" s="1"/>
  <c r="AK277" i="15"/>
  <c r="AO277" i="15" s="1"/>
  <c r="BD277" i="15" s="1"/>
  <c r="AJ74" i="15"/>
  <c r="AN74" i="15" s="1"/>
  <c r="AP74" i="15" s="1"/>
  <c r="AK74" i="15"/>
  <c r="AO74" i="15" s="1"/>
  <c r="AQ74" i="15" s="1"/>
  <c r="AK14" i="15"/>
  <c r="AO14" i="15" s="1"/>
  <c r="BD14" i="15" s="1"/>
  <c r="AJ14" i="15"/>
  <c r="AN14" i="15" s="1"/>
  <c r="AK21" i="15"/>
  <c r="AO21" i="15" s="1"/>
  <c r="AQ21" i="15" s="1"/>
  <c r="AJ21" i="15"/>
  <c r="AN21" i="15" s="1"/>
  <c r="BC21" i="15" s="1"/>
  <c r="AK151" i="15"/>
  <c r="AO151" i="15" s="1"/>
  <c r="AQ151" i="15" s="1"/>
  <c r="AJ151" i="15"/>
  <c r="AN151" i="15" s="1"/>
  <c r="AP151" i="15" s="1"/>
  <c r="AK360" i="15"/>
  <c r="AO360" i="15" s="1"/>
  <c r="AQ360" i="15" s="1"/>
  <c r="AJ360" i="15"/>
  <c r="AN360" i="15" s="1"/>
  <c r="AP360" i="15" s="1"/>
  <c r="AJ246" i="15"/>
  <c r="AN246" i="15" s="1"/>
  <c r="BC246" i="15" s="1"/>
  <c r="AK246" i="15"/>
  <c r="AO246" i="15" s="1"/>
  <c r="AQ246" i="15" s="1"/>
  <c r="AK97" i="15"/>
  <c r="AO97" i="15" s="1"/>
  <c r="AJ97" i="15"/>
  <c r="AN97" i="15" s="1"/>
  <c r="AP97" i="15" s="1"/>
  <c r="AK122" i="15"/>
  <c r="AO122" i="15" s="1"/>
  <c r="BD122" i="15" s="1"/>
  <c r="AJ122" i="15"/>
  <c r="AN122" i="15" s="1"/>
  <c r="BC122" i="15" s="1"/>
  <c r="AK181" i="15"/>
  <c r="AO181" i="15" s="1"/>
  <c r="AJ181" i="15"/>
  <c r="AN181" i="15" s="1"/>
  <c r="BC181" i="15" s="1"/>
  <c r="AK32" i="15"/>
  <c r="AO32" i="15" s="1"/>
  <c r="BD32" i="15" s="1"/>
  <c r="AJ32" i="15"/>
  <c r="AN32" i="15" s="1"/>
  <c r="BC32" i="15" s="1"/>
  <c r="AK136" i="15"/>
  <c r="AO136" i="15" s="1"/>
  <c r="BD136" i="15" s="1"/>
  <c r="AJ136" i="15"/>
  <c r="AN136" i="15" s="1"/>
  <c r="AP136" i="15" s="1"/>
  <c r="AJ280" i="15"/>
  <c r="AN280" i="15" s="1"/>
  <c r="AK280" i="15"/>
  <c r="AO280" i="15" s="1"/>
  <c r="AQ280" i="15" s="1"/>
  <c r="AJ365" i="15"/>
  <c r="AN365" i="15" s="1"/>
  <c r="BC365" i="15" s="1"/>
  <c r="AK365" i="15"/>
  <c r="AO365" i="15" s="1"/>
  <c r="BD365" i="15" s="1"/>
  <c r="AJ179" i="15"/>
  <c r="AN179" i="15" s="1"/>
  <c r="AP179" i="15" s="1"/>
  <c r="AK179" i="15"/>
  <c r="AO179" i="15" s="1"/>
  <c r="AQ179" i="15" s="1"/>
  <c r="AK78" i="15"/>
  <c r="AO78" i="15" s="1"/>
  <c r="AQ78" i="15" s="1"/>
  <c r="AJ78" i="15"/>
  <c r="AN78" i="15" s="1"/>
  <c r="AP78" i="15" s="1"/>
  <c r="AJ279" i="15"/>
  <c r="AN279" i="15" s="1"/>
  <c r="AP279" i="15" s="1"/>
  <c r="AK279" i="15"/>
  <c r="AO279" i="15" s="1"/>
  <c r="BD279" i="15" s="1"/>
  <c r="AJ364" i="15"/>
  <c r="AN364" i="15" s="1"/>
  <c r="BC364" i="15" s="1"/>
  <c r="AK364" i="15"/>
  <c r="AO364" i="15" s="1"/>
  <c r="AQ364" i="15" s="1"/>
  <c r="AJ129" i="15"/>
  <c r="AN129" i="15" s="1"/>
  <c r="AP129" i="15" s="1"/>
  <c r="AK129" i="15"/>
  <c r="AO129" i="15" s="1"/>
  <c r="AQ129" i="15" s="1"/>
  <c r="AJ29" i="15"/>
  <c r="AN29" i="15" s="1"/>
  <c r="BC29" i="15" s="1"/>
  <c r="AK29" i="15"/>
  <c r="AO29" i="15" s="1"/>
  <c r="AQ29" i="15" s="1"/>
  <c r="AJ119" i="15"/>
  <c r="AN119" i="15" s="1"/>
  <c r="AP119" i="15" s="1"/>
  <c r="AK119" i="15"/>
  <c r="AO119" i="15" s="1"/>
  <c r="AQ119" i="15" s="1"/>
  <c r="AJ264" i="15"/>
  <c r="AN264" i="15" s="1"/>
  <c r="BC264" i="15" s="1"/>
  <c r="AK264" i="15"/>
  <c r="AO264" i="15" s="1"/>
  <c r="AJ349" i="15"/>
  <c r="AN349" i="15" s="1"/>
  <c r="AK349" i="15"/>
  <c r="AO349" i="15" s="1"/>
  <c r="AQ349" i="15" s="1"/>
  <c r="AJ227" i="15"/>
  <c r="AN227" i="15" s="1"/>
  <c r="BC227" i="15" s="1"/>
  <c r="AK227" i="15"/>
  <c r="AO227" i="15" s="1"/>
  <c r="BD227" i="15" s="1"/>
  <c r="AJ77" i="15"/>
  <c r="AN77" i="15" s="1"/>
  <c r="AK77" i="15"/>
  <c r="AO77" i="15" s="1"/>
  <c r="AQ77" i="15" s="1"/>
  <c r="AK88" i="15"/>
  <c r="AO88" i="15" s="1"/>
  <c r="AJ88" i="15"/>
  <c r="AN88" i="15" s="1"/>
  <c r="AP88" i="15" s="1"/>
  <c r="AK213" i="15"/>
  <c r="AO213" i="15" s="1"/>
  <c r="BD213" i="15" s="1"/>
  <c r="AJ213" i="15"/>
  <c r="AN213" i="15" s="1"/>
  <c r="BC213" i="15" s="1"/>
  <c r="AJ38" i="15"/>
  <c r="AN38" i="15" s="1"/>
  <c r="AP38" i="15" s="1"/>
  <c r="AK38" i="15"/>
  <c r="AO38" i="15" s="1"/>
  <c r="BD38" i="15" s="1"/>
  <c r="AJ79" i="15"/>
  <c r="AN79" i="15" s="1"/>
  <c r="AP79" i="15" s="1"/>
  <c r="AK79" i="15"/>
  <c r="AO79" i="15" s="1"/>
  <c r="AQ79" i="15" s="1"/>
  <c r="AJ296" i="15"/>
  <c r="AN296" i="15" s="1"/>
  <c r="AP296" i="15" s="1"/>
  <c r="AK296" i="15"/>
  <c r="AO296" i="15" s="1"/>
  <c r="AQ296" i="15" s="1"/>
  <c r="AK182" i="15"/>
  <c r="AO182" i="15" s="1"/>
  <c r="AQ182" i="15" s="1"/>
  <c r="AJ182" i="15"/>
  <c r="AN182" i="15" s="1"/>
  <c r="AJ259" i="15"/>
  <c r="AN259" i="15" s="1"/>
  <c r="AP259" i="15" s="1"/>
  <c r="AK259" i="15"/>
  <c r="AO259" i="15" s="1"/>
  <c r="BD259" i="15" s="1"/>
  <c r="AK210" i="15"/>
  <c r="AO210" i="15" s="1"/>
  <c r="AQ210" i="15" s="1"/>
  <c r="AJ210" i="15"/>
  <c r="AN210" i="15" s="1"/>
  <c r="BC210" i="15" s="1"/>
  <c r="AK316" i="15"/>
  <c r="AO316" i="15" s="1"/>
  <c r="AQ316" i="15" s="1"/>
  <c r="AJ316" i="15"/>
  <c r="AN316" i="15" s="1"/>
  <c r="AP316" i="15" s="1"/>
  <c r="AJ81" i="15"/>
  <c r="AN81" i="15" s="1"/>
  <c r="AK81" i="15"/>
  <c r="AO81" i="15" s="1"/>
  <c r="BD81" i="15" s="1"/>
  <c r="AJ71" i="15"/>
  <c r="AN71" i="15" s="1"/>
  <c r="AK71" i="15"/>
  <c r="AO71" i="15" s="1"/>
  <c r="AQ71" i="15" s="1"/>
  <c r="AJ330" i="15"/>
  <c r="AN330" i="15" s="1"/>
  <c r="BC330" i="15" s="1"/>
  <c r="AK330" i="15"/>
  <c r="AO330" i="15" s="1"/>
  <c r="AQ330" i="15" s="1"/>
  <c r="AJ216" i="15"/>
  <c r="AN216" i="15" s="1"/>
  <c r="AK216" i="15"/>
  <c r="AO216" i="15" s="1"/>
  <c r="BD216" i="15" s="1"/>
  <c r="AJ301" i="15"/>
  <c r="AN301" i="15" s="1"/>
  <c r="AK301" i="15"/>
  <c r="AO301" i="15" s="1"/>
  <c r="AQ301" i="15" s="1"/>
  <c r="AK95" i="15"/>
  <c r="AO95" i="15" s="1"/>
  <c r="BD95" i="15" s="1"/>
  <c r="AJ95" i="15"/>
  <c r="AN95" i="15" s="1"/>
  <c r="AJ329" i="15"/>
  <c r="AN329" i="15" s="1"/>
  <c r="AP329" i="15" s="1"/>
  <c r="AK329" i="15"/>
  <c r="AO329" i="15" s="1"/>
  <c r="AQ329" i="15" s="1"/>
  <c r="AJ215" i="15"/>
  <c r="AN215" i="15" s="1"/>
  <c r="AK215" i="15"/>
  <c r="AO215" i="15" s="1"/>
  <c r="AQ215" i="15" s="1"/>
  <c r="AK300" i="15"/>
  <c r="AO300" i="15" s="1"/>
  <c r="BD300" i="15" s="1"/>
  <c r="AJ300" i="15"/>
  <c r="AN300" i="15" s="1"/>
  <c r="BC300" i="15" s="1"/>
  <c r="AK67" i="15"/>
  <c r="AO67" i="15" s="1"/>
  <c r="BD67" i="15" s="1"/>
  <c r="AJ67" i="15"/>
  <c r="AN67" i="15" s="1"/>
  <c r="BC67" i="15" s="1"/>
  <c r="AJ11" i="15"/>
  <c r="AN11" i="15" s="1"/>
  <c r="AP11" i="15" s="1"/>
  <c r="AK11" i="15"/>
  <c r="AO11" i="15" s="1"/>
  <c r="AQ11" i="15" s="1"/>
  <c r="AJ314" i="15"/>
  <c r="AN314" i="15" s="1"/>
  <c r="AP314" i="15" s="1"/>
  <c r="AK314" i="15"/>
  <c r="AO314" i="15" s="1"/>
  <c r="BD314" i="15" s="1"/>
  <c r="AJ200" i="15"/>
  <c r="AN200" i="15" s="1"/>
  <c r="AK200" i="15"/>
  <c r="AO200" i="15" s="1"/>
  <c r="BD200" i="15" s="1"/>
  <c r="AJ285" i="15"/>
  <c r="AN285" i="15" s="1"/>
  <c r="BC285" i="15" s="1"/>
  <c r="AK285" i="15"/>
  <c r="AO285" i="15" s="1"/>
  <c r="AQ285" i="15" s="1"/>
  <c r="AJ165" i="15"/>
  <c r="AN165" i="15" s="1"/>
  <c r="BC165" i="15" s="1"/>
  <c r="AK165" i="15"/>
  <c r="AO165" i="15" s="1"/>
  <c r="AJ263" i="15"/>
  <c r="AN263" i="15" s="1"/>
  <c r="AP263" i="15" s="1"/>
  <c r="AK263" i="15"/>
  <c r="AO263" i="15" s="1"/>
  <c r="AQ263" i="15" s="1"/>
  <c r="AK348" i="15"/>
  <c r="AO348" i="15" s="1"/>
  <c r="BD348" i="15" s="1"/>
  <c r="AJ348" i="15"/>
  <c r="AN348" i="15" s="1"/>
  <c r="AP348" i="15" s="1"/>
  <c r="AJ17" i="15"/>
  <c r="AN17" i="15" s="1"/>
  <c r="BC17" i="15" s="1"/>
  <c r="AK17" i="15"/>
  <c r="AO17" i="15" s="1"/>
  <c r="AK163" i="15"/>
  <c r="AO163" i="15" s="1"/>
  <c r="AQ163" i="15" s="1"/>
  <c r="AJ163" i="15"/>
  <c r="AN163" i="15" s="1"/>
  <c r="BC163" i="15" s="1"/>
  <c r="AK346" i="15"/>
  <c r="AO346" i="15" s="1"/>
  <c r="BD346" i="15" s="1"/>
  <c r="AJ346" i="15"/>
  <c r="AN346" i="15" s="1"/>
  <c r="BC346" i="15" s="1"/>
  <c r="AJ232" i="15"/>
  <c r="AN232" i="15" s="1"/>
  <c r="AK232" i="15"/>
  <c r="AO232" i="15" s="1"/>
  <c r="AJ113" i="15"/>
  <c r="AN113" i="15" s="1"/>
  <c r="BC113" i="15" s="1"/>
  <c r="AK113" i="15"/>
  <c r="AO113" i="15" s="1"/>
  <c r="BD113" i="15" s="1"/>
  <c r="AK152" i="15"/>
  <c r="AO152" i="15" s="1"/>
  <c r="AJ152" i="15"/>
  <c r="AN152" i="15" s="1"/>
  <c r="BC152" i="15" s="1"/>
  <c r="AK231" i="15"/>
  <c r="AO231" i="15" s="1"/>
  <c r="AJ231" i="15"/>
  <c r="AN231" i="15" s="1"/>
  <c r="AP231" i="15" s="1"/>
  <c r="AJ266" i="15"/>
  <c r="AN266" i="15" s="1"/>
  <c r="AK266" i="15"/>
  <c r="AO266" i="15" s="1"/>
  <c r="BD266" i="15" s="1"/>
  <c r="AJ237" i="15"/>
  <c r="AN237" i="15" s="1"/>
  <c r="AK237" i="15"/>
  <c r="AO237" i="15" s="1"/>
  <c r="AQ237" i="15" s="1"/>
  <c r="AK57" i="15"/>
  <c r="AO57" i="15" s="1"/>
  <c r="AQ57" i="15" s="1"/>
  <c r="AJ57" i="15"/>
  <c r="AN57" i="15" s="1"/>
  <c r="AJ265" i="15"/>
  <c r="AN265" i="15" s="1"/>
  <c r="AK265" i="15"/>
  <c r="AO265" i="15" s="1"/>
  <c r="AQ265" i="15" s="1"/>
  <c r="AJ350" i="15"/>
  <c r="AN350" i="15" s="1"/>
  <c r="AK350" i="15"/>
  <c r="AO350" i="15" s="1"/>
  <c r="BD350" i="15" s="1"/>
  <c r="AK236" i="15"/>
  <c r="AO236" i="15" s="1"/>
  <c r="BD236" i="15" s="1"/>
  <c r="AJ236" i="15"/>
  <c r="AN236" i="15" s="1"/>
  <c r="BC236" i="15" s="1"/>
  <c r="AJ85" i="15"/>
  <c r="AN85" i="15" s="1"/>
  <c r="BC85" i="15" s="1"/>
  <c r="AK85" i="15"/>
  <c r="AO85" i="15" s="1"/>
  <c r="AQ85" i="15" s="1"/>
  <c r="AK135" i="15"/>
  <c r="AO135" i="15" s="1"/>
  <c r="BD135" i="15" s="1"/>
  <c r="AJ135" i="15"/>
  <c r="AN135" i="15" s="1"/>
  <c r="AP135" i="15" s="1"/>
  <c r="AJ250" i="15"/>
  <c r="AN250" i="15" s="1"/>
  <c r="AP250" i="15" s="1"/>
  <c r="AK250" i="15"/>
  <c r="AO250" i="15" s="1"/>
  <c r="AK335" i="15"/>
  <c r="AO335" i="15" s="1"/>
  <c r="AQ335" i="15" s="1"/>
  <c r="AJ335" i="15"/>
  <c r="AN335" i="15" s="1"/>
  <c r="AP335" i="15" s="1"/>
  <c r="AK221" i="15"/>
  <c r="AO221" i="15" s="1"/>
  <c r="AJ221" i="15"/>
  <c r="AN221" i="15" s="1"/>
  <c r="AP221" i="15" s="1"/>
  <c r="AK75" i="15"/>
  <c r="AO75" i="15" s="1"/>
  <c r="AJ75" i="15"/>
  <c r="AN75" i="15" s="1"/>
  <c r="AP75" i="15" s="1"/>
  <c r="AK41" i="15"/>
  <c r="AO41" i="15" s="1"/>
  <c r="AJ41" i="15"/>
  <c r="AN41" i="15" s="1"/>
  <c r="AJ126" i="15"/>
  <c r="AN126" i="15" s="1"/>
  <c r="BC126" i="15" s="1"/>
  <c r="AK126" i="15"/>
  <c r="AO126" i="15" s="1"/>
  <c r="AQ126" i="15" s="1"/>
  <c r="AJ313" i="15"/>
  <c r="AN313" i="15" s="1"/>
  <c r="AP313" i="15" s="1"/>
  <c r="AK313" i="15"/>
  <c r="AO313" i="15" s="1"/>
  <c r="BD313" i="15" s="1"/>
  <c r="AJ284" i="15"/>
  <c r="AN284" i="15" s="1"/>
  <c r="AK284" i="15"/>
  <c r="AO284" i="15" s="1"/>
  <c r="AQ284" i="15" s="1"/>
  <c r="AJ111" i="15"/>
  <c r="AN111" i="15" s="1"/>
  <c r="BC111" i="15" s="1"/>
  <c r="AK111" i="15"/>
  <c r="AO111" i="15" s="1"/>
  <c r="AQ111" i="15" s="1"/>
  <c r="AK48" i="15"/>
  <c r="AO48" i="15" s="1"/>
  <c r="AQ48" i="15" s="1"/>
  <c r="AJ48" i="15"/>
  <c r="AN48" i="15" s="1"/>
  <c r="AP48" i="15" s="1"/>
  <c r="AK137" i="15"/>
  <c r="AO137" i="15" s="1"/>
  <c r="BD137" i="15" s="1"/>
  <c r="AJ137" i="15"/>
  <c r="AN137" i="15" s="1"/>
  <c r="AP137" i="15" s="1"/>
  <c r="AJ282" i="15"/>
  <c r="AN282" i="15" s="1"/>
  <c r="AP282" i="15" s="1"/>
  <c r="AK282" i="15"/>
  <c r="AO282" i="15" s="1"/>
  <c r="BD282" i="15" s="1"/>
  <c r="AK367" i="15"/>
  <c r="AO367" i="15" s="1"/>
  <c r="BD367" i="15" s="1"/>
  <c r="AJ367" i="15"/>
  <c r="AN367" i="15" s="1"/>
  <c r="AP367" i="15" s="1"/>
  <c r="AJ253" i="15"/>
  <c r="AN253" i="15" s="1"/>
  <c r="AK253" i="15"/>
  <c r="AO253" i="15" s="1"/>
  <c r="BD253" i="15" s="1"/>
  <c r="AJ128" i="15"/>
  <c r="AN128" i="15" s="1"/>
  <c r="AP128" i="15" s="1"/>
  <c r="AK128" i="15"/>
  <c r="AO128" i="15" s="1"/>
  <c r="BD128" i="15" s="1"/>
  <c r="AJ188" i="15"/>
  <c r="AN188" i="15" s="1"/>
  <c r="AP188" i="15" s="1"/>
  <c r="AK188" i="15"/>
  <c r="AO188" i="15" s="1"/>
  <c r="AQ188" i="15" s="1"/>
  <c r="AK69" i="15"/>
  <c r="AO69" i="15" s="1"/>
  <c r="AQ69" i="15" s="1"/>
  <c r="AJ69" i="15"/>
  <c r="AN69" i="15" s="1"/>
  <c r="BC69" i="15" s="1"/>
  <c r="AJ202" i="15"/>
  <c r="AN202" i="15" s="1"/>
  <c r="AP202" i="15" s="1"/>
  <c r="AK202" i="15"/>
  <c r="AO202" i="15" s="1"/>
  <c r="AK308" i="15"/>
  <c r="AO308" i="15" s="1"/>
  <c r="AQ308" i="15" s="1"/>
  <c r="AJ308" i="15"/>
  <c r="AN308" i="15" s="1"/>
  <c r="AP308" i="15" s="1"/>
  <c r="AK22" i="15"/>
  <c r="AO22" i="15" s="1"/>
  <c r="AJ22" i="15"/>
  <c r="AN22" i="15" s="1"/>
  <c r="BC22" i="15" s="1"/>
  <c r="AK24" i="15"/>
  <c r="AO24" i="15" s="1"/>
  <c r="AQ24" i="15" s="1"/>
  <c r="AJ24" i="15"/>
  <c r="AN24" i="15" s="1"/>
  <c r="AJ201" i="15"/>
  <c r="AN201" i="15" s="1"/>
  <c r="BC201" i="15" s="1"/>
  <c r="AK201" i="15"/>
  <c r="AO201" i="15" s="1"/>
  <c r="AQ201" i="15" s="1"/>
  <c r="AK286" i="15"/>
  <c r="AO286" i="15" s="1"/>
  <c r="AQ286" i="15" s="1"/>
  <c r="AJ286" i="15"/>
  <c r="AN286" i="15" s="1"/>
  <c r="AP286" i="15" s="1"/>
  <c r="BD212" i="15"/>
  <c r="AQ212" i="15"/>
  <c r="AP114" i="15"/>
  <c r="AP486" i="15"/>
  <c r="AP506" i="15"/>
  <c r="BC494" i="15"/>
  <c r="BD318" i="15"/>
  <c r="BD506" i="15"/>
  <c r="BC340" i="15"/>
  <c r="BC331" i="15"/>
  <c r="AQ155" i="15"/>
  <c r="AP422" i="15"/>
  <c r="BD276" i="15"/>
  <c r="BD339" i="15"/>
  <c r="AQ411" i="15"/>
  <c r="AQ45" i="15"/>
  <c r="BD317" i="15"/>
  <c r="BC381" i="15"/>
  <c r="AQ490" i="15"/>
  <c r="BC371" i="15"/>
  <c r="AP475" i="15"/>
  <c r="AP199" i="15"/>
  <c r="BC454" i="15"/>
  <c r="AQ238" i="15"/>
  <c r="BD287" i="15"/>
  <c r="BD190" i="15"/>
  <c r="BD487" i="15"/>
  <c r="BD493" i="15"/>
  <c r="BD35" i="15"/>
  <c r="BC406" i="15"/>
  <c r="AQ513" i="15"/>
  <c r="AQ325" i="15"/>
  <c r="BD340" i="15"/>
  <c r="BD366" i="15"/>
  <c r="BD489" i="15"/>
  <c r="BC487" i="15"/>
  <c r="AP92" i="15"/>
  <c r="AQ439" i="15"/>
  <c r="BC275" i="15"/>
  <c r="AP363" i="15"/>
  <c r="BC438" i="15"/>
  <c r="AQ393" i="15"/>
  <c r="BD380" i="15"/>
  <c r="BD363" i="15"/>
  <c r="BC19" i="15"/>
  <c r="BD347" i="15"/>
  <c r="BD491" i="15"/>
  <c r="AQ498" i="15"/>
  <c r="BD379" i="15"/>
  <c r="BD471" i="15"/>
  <c r="BC383" i="15"/>
  <c r="AP25" i="15"/>
  <c r="AC56" i="16"/>
  <c r="AE56" i="16" s="1"/>
  <c r="AN56" i="16" s="1"/>
  <c r="AB56" i="16"/>
  <c r="AD56" i="16" s="1"/>
  <c r="AM56" i="16" s="1"/>
  <c r="AB20" i="16"/>
  <c r="AD20" i="16" s="1"/>
  <c r="AM20" i="16" s="1"/>
  <c r="AC20" i="16"/>
  <c r="AE20" i="16" s="1"/>
  <c r="AN20" i="16" s="1"/>
  <c r="AC72" i="16"/>
  <c r="AE72" i="16" s="1"/>
  <c r="AN72" i="16" s="1"/>
  <c r="AB72" i="16"/>
  <c r="AD72" i="16" s="1"/>
  <c r="AM72" i="16" s="1"/>
  <c r="AQ421" i="15"/>
  <c r="AP435" i="15"/>
  <c r="AP219" i="15"/>
  <c r="P86" i="8"/>
  <c r="AB31" i="16"/>
  <c r="AD31" i="16" s="1"/>
  <c r="AM31" i="16" s="1"/>
  <c r="AC31" i="16"/>
  <c r="AE31" i="16" s="1"/>
  <c r="AN31" i="16" s="1"/>
  <c r="AB50" i="16"/>
  <c r="AD50" i="16" s="1"/>
  <c r="AM50" i="16" s="1"/>
  <c r="AC50" i="16"/>
  <c r="AE50" i="16" s="1"/>
  <c r="AN50" i="16" s="1"/>
  <c r="AB53" i="16"/>
  <c r="AD53" i="16" s="1"/>
  <c r="AM53" i="16" s="1"/>
  <c r="AC53" i="16"/>
  <c r="AE53" i="16" s="1"/>
  <c r="AN53" i="16" s="1"/>
  <c r="AB32" i="16"/>
  <c r="AD32" i="16" s="1"/>
  <c r="AM32" i="16" s="1"/>
  <c r="AC32" i="16"/>
  <c r="AE32" i="16" s="1"/>
  <c r="AN32" i="16" s="1"/>
  <c r="AC57" i="16"/>
  <c r="AE57" i="16" s="1"/>
  <c r="AN57" i="16" s="1"/>
  <c r="AB57" i="16"/>
  <c r="AD57" i="16" s="1"/>
  <c r="AM57" i="16" s="1"/>
  <c r="AQ327" i="15"/>
  <c r="R97" i="8"/>
  <c r="AB14" i="16"/>
  <c r="AD14" i="16" s="1"/>
  <c r="AM14" i="16" s="1"/>
  <c r="AC14" i="16"/>
  <c r="AE14" i="16" s="1"/>
  <c r="AN14" i="16" s="1"/>
  <c r="AC30" i="16"/>
  <c r="AE30" i="16" s="1"/>
  <c r="AN30" i="16" s="1"/>
  <c r="AB30" i="16"/>
  <c r="AD30" i="16" s="1"/>
  <c r="AM30" i="16" s="1"/>
  <c r="AB27" i="16"/>
  <c r="AD27" i="16" s="1"/>
  <c r="AM27" i="16" s="1"/>
  <c r="AC27" i="16"/>
  <c r="AE27" i="16" s="1"/>
  <c r="AN27" i="16" s="1"/>
  <c r="AB23" i="16"/>
  <c r="AD23" i="16" s="1"/>
  <c r="AM23" i="16" s="1"/>
  <c r="AC23" i="16"/>
  <c r="AE23" i="16" s="1"/>
  <c r="AN23" i="16" s="1"/>
  <c r="AC44" i="16"/>
  <c r="AE44" i="16" s="1"/>
  <c r="AN44" i="16" s="1"/>
  <c r="AB44" i="16"/>
  <c r="AD44" i="16" s="1"/>
  <c r="AM44" i="16" s="1"/>
  <c r="BC372" i="15"/>
  <c r="BC502" i="15"/>
  <c r="AP430" i="15"/>
  <c r="AP159" i="15"/>
  <c r="AB54" i="16"/>
  <c r="AD54" i="16" s="1"/>
  <c r="AM54" i="16" s="1"/>
  <c r="AC54" i="16"/>
  <c r="AE54" i="16" s="1"/>
  <c r="AN54" i="16" s="1"/>
  <c r="AB18" i="16"/>
  <c r="AD18" i="16" s="1"/>
  <c r="AM18" i="16" s="1"/>
  <c r="AC18" i="16"/>
  <c r="AE18" i="16" s="1"/>
  <c r="AN18" i="16" s="1"/>
  <c r="AC47" i="16"/>
  <c r="AE47" i="16" s="1"/>
  <c r="AN47" i="16" s="1"/>
  <c r="AB47" i="16"/>
  <c r="AD47" i="16" s="1"/>
  <c r="AM47" i="16" s="1"/>
  <c r="AB29" i="16"/>
  <c r="AD29" i="16" s="1"/>
  <c r="AM29" i="16" s="1"/>
  <c r="AC29" i="16"/>
  <c r="AE29" i="16" s="1"/>
  <c r="AN29" i="16" s="1"/>
  <c r="AB61" i="16"/>
  <c r="AD61" i="16" s="1"/>
  <c r="AM61" i="16" s="1"/>
  <c r="AC61" i="16"/>
  <c r="AE61" i="16" s="1"/>
  <c r="AN61" i="16" s="1"/>
  <c r="AC12" i="16"/>
  <c r="AE12" i="16" s="1"/>
  <c r="AB12" i="16"/>
  <c r="AD12" i="16" s="1"/>
  <c r="AB55" i="16"/>
  <c r="AD55" i="16" s="1"/>
  <c r="AM55" i="16" s="1"/>
  <c r="AC55" i="16"/>
  <c r="AE55" i="16" s="1"/>
  <c r="AN55" i="16" s="1"/>
  <c r="AB41" i="16"/>
  <c r="AD41" i="16" s="1"/>
  <c r="AM41" i="16" s="1"/>
  <c r="AC41" i="16"/>
  <c r="AE41" i="16" s="1"/>
  <c r="AN41" i="16" s="1"/>
  <c r="AB46" i="16"/>
  <c r="AD46" i="16" s="1"/>
  <c r="AM46" i="16" s="1"/>
  <c r="AC46" i="16"/>
  <c r="AE46" i="16" s="1"/>
  <c r="AN46" i="16" s="1"/>
  <c r="AC65" i="16"/>
  <c r="AE65" i="16" s="1"/>
  <c r="AN65" i="16" s="1"/>
  <c r="AB65" i="16"/>
  <c r="AD65" i="16" s="1"/>
  <c r="AM65" i="16" s="1"/>
  <c r="AP420" i="15"/>
  <c r="AP116" i="15"/>
  <c r="AP453" i="15"/>
  <c r="BC269" i="15"/>
  <c r="AB34" i="16"/>
  <c r="AD34" i="16" s="1"/>
  <c r="AM34" i="16" s="1"/>
  <c r="AC34" i="16"/>
  <c r="AE34" i="16" s="1"/>
  <c r="AN34" i="16" s="1"/>
  <c r="AC21" i="16"/>
  <c r="AE21" i="16" s="1"/>
  <c r="AN21" i="16" s="1"/>
  <c r="AB21" i="16"/>
  <c r="AD21" i="16" s="1"/>
  <c r="AM21" i="16" s="1"/>
  <c r="AB35" i="16"/>
  <c r="AD35" i="16" s="1"/>
  <c r="AM35" i="16" s="1"/>
  <c r="AC35" i="16"/>
  <c r="AE35" i="16" s="1"/>
  <c r="AN35" i="16" s="1"/>
  <c r="AC25" i="16"/>
  <c r="AE25" i="16" s="1"/>
  <c r="AN25" i="16" s="1"/>
  <c r="AB25" i="16"/>
  <c r="AD25" i="16" s="1"/>
  <c r="AM25" i="16" s="1"/>
  <c r="BD460" i="15"/>
  <c r="BC89" i="15"/>
  <c r="AB28" i="16"/>
  <c r="AD28" i="16" s="1"/>
  <c r="AM28" i="16" s="1"/>
  <c r="AC28" i="16"/>
  <c r="AE28" i="16" s="1"/>
  <c r="AN28" i="16" s="1"/>
  <c r="AC63" i="16"/>
  <c r="AE63" i="16" s="1"/>
  <c r="AN63" i="16" s="1"/>
  <c r="AB63" i="16"/>
  <c r="AD63" i="16" s="1"/>
  <c r="AM63" i="16" s="1"/>
  <c r="AC37" i="16"/>
  <c r="AE37" i="16" s="1"/>
  <c r="AN37" i="16" s="1"/>
  <c r="AB37" i="16"/>
  <c r="AD37" i="16" s="1"/>
  <c r="AM37" i="16" s="1"/>
  <c r="AP178" i="15"/>
  <c r="BC252" i="15"/>
  <c r="BC476" i="15"/>
  <c r="AQ423" i="15"/>
  <c r="BC261" i="15"/>
  <c r="BD390" i="15"/>
  <c r="AP424" i="15"/>
  <c r="BD420" i="15"/>
  <c r="AP414" i="15"/>
  <c r="BD116" i="15"/>
  <c r="BC503" i="15"/>
  <c r="BC388" i="15"/>
  <c r="AP70" i="15"/>
  <c r="BC421" i="15"/>
  <c r="AP474" i="15"/>
  <c r="BD499" i="15"/>
  <c r="BD477" i="15"/>
  <c r="BC460" i="15"/>
  <c r="BC177" i="15"/>
  <c r="BC459" i="15"/>
  <c r="BD457" i="15"/>
  <c r="BC410" i="15"/>
  <c r="BC467" i="15"/>
  <c r="BC448" i="15"/>
  <c r="BC298" i="15"/>
  <c r="BC444" i="15"/>
  <c r="BC413" i="15"/>
  <c r="AQ435" i="15"/>
  <c r="BD451" i="15"/>
  <c r="AP42" i="15"/>
  <c r="AP466" i="15"/>
  <c r="AQ445" i="15"/>
  <c r="BD479" i="15"/>
  <c r="BD333" i="15"/>
  <c r="BC262" i="15"/>
  <c r="BD58" i="15"/>
  <c r="BD437" i="15"/>
  <c r="AP68" i="15"/>
  <c r="AP117" i="15"/>
  <c r="AP190" i="15"/>
  <c r="BC401" i="15"/>
  <c r="BC419" i="15"/>
  <c r="BD505" i="15"/>
  <c r="AP415" i="15"/>
  <c r="AP447" i="15"/>
  <c r="AP242" i="15"/>
  <c r="AQ56" i="15"/>
  <c r="AQ103" i="15"/>
  <c r="BC511" i="15"/>
  <c r="AP500" i="15"/>
  <c r="AP510" i="15"/>
  <c r="AP212" i="15"/>
  <c r="BD464" i="15"/>
  <c r="AQ441" i="15"/>
  <c r="AQ156" i="15"/>
  <c r="AP173" i="15"/>
  <c r="BC311" i="15"/>
  <c r="BD415" i="15"/>
  <c r="BC131" i="15"/>
  <c r="BD397" i="15"/>
  <c r="AP395" i="15"/>
  <c r="AQ465" i="15"/>
  <c r="BC465" i="15"/>
  <c r="BD241" i="15"/>
  <c r="BC172" i="15"/>
  <c r="BD44" i="15"/>
  <c r="AQ361" i="15"/>
  <c r="AP384" i="15"/>
  <c r="AP473" i="15"/>
  <c r="AQ211" i="15"/>
  <c r="AP295" i="15"/>
  <c r="BC31" i="15"/>
  <c r="AP90" i="15"/>
  <c r="BD70" i="15"/>
  <c r="AP387" i="15"/>
  <c r="AP472" i="15"/>
  <c r="BC437" i="15"/>
  <c r="BC450" i="15"/>
  <c r="BD183" i="15"/>
  <c r="AQ99" i="15"/>
  <c r="BC379" i="15"/>
  <c r="AQ332" i="15"/>
  <c r="AP418" i="15"/>
  <c r="AP175" i="15"/>
  <c r="AP513" i="15"/>
  <c r="AQ127" i="15"/>
  <c r="BC402" i="15"/>
  <c r="AP464" i="15"/>
  <c r="BD248" i="15"/>
  <c r="AQ412" i="15"/>
  <c r="BC428" i="15"/>
  <c r="AQ158" i="15"/>
  <c r="AQ138" i="15"/>
  <c r="AQ458" i="15"/>
  <c r="AP370" i="15"/>
  <c r="BC436" i="15"/>
  <c r="AQ484" i="15"/>
  <c r="BD153" i="15"/>
  <c r="BC226" i="15"/>
  <c r="BC456" i="15"/>
  <c r="BC325" i="15"/>
  <c r="BC482" i="15"/>
  <c r="AP174" i="15"/>
  <c r="AQ123" i="15"/>
  <c r="BD323" i="15"/>
  <c r="BC368" i="15"/>
  <c r="BC443" i="15"/>
  <c r="AQ114" i="15"/>
  <c r="BD396" i="15"/>
  <c r="BC439" i="15"/>
  <c r="BC484" i="15"/>
  <c r="BC393" i="15"/>
  <c r="BC58" i="15"/>
  <c r="BC203" i="15"/>
  <c r="BD34" i="15"/>
  <c r="AQ426" i="15"/>
  <c r="AQ141" i="15"/>
  <c r="BC297" i="15"/>
  <c r="AQ175" i="15"/>
  <c r="BC468" i="15"/>
  <c r="BC403" i="15"/>
  <c r="BC416" i="15"/>
  <c r="BC462" i="15"/>
  <c r="AQ404" i="15"/>
  <c r="AQ509" i="15"/>
  <c r="BD481" i="15"/>
  <c r="AQ476" i="15"/>
  <c r="BC481" i="15"/>
  <c r="BD408" i="15"/>
  <c r="BD233" i="15"/>
  <c r="AP319" i="15"/>
  <c r="BC268" i="15"/>
  <c r="BD430" i="15"/>
  <c r="BC446" i="15"/>
  <c r="BC274" i="15"/>
  <c r="AP471" i="15"/>
  <c r="BD503" i="15"/>
  <c r="AP318" i="15"/>
  <c r="BC318" i="15"/>
  <c r="BC390" i="15"/>
  <c r="BC426" i="15"/>
  <c r="BD112" i="15"/>
  <c r="BC198" i="15"/>
  <c r="AQ164" i="15"/>
  <c r="BC508" i="15"/>
  <c r="AQ504" i="15"/>
  <c r="BD466" i="15"/>
  <c r="AQ452" i="15"/>
  <c r="AQ434" i="15"/>
  <c r="BC427" i="15"/>
  <c r="BC86" i="15"/>
  <c r="BC496" i="15"/>
  <c r="AP489" i="15"/>
  <c r="BC380" i="15"/>
  <c r="BC441" i="15"/>
  <c r="BC255" i="15"/>
  <c r="AP369" i="15"/>
  <c r="AP408" i="15"/>
  <c r="BD178" i="15"/>
  <c r="BC204" i="15"/>
  <c r="AQ402" i="15"/>
  <c r="BC470" i="15"/>
  <c r="BD176" i="15"/>
  <c r="BD455" i="15"/>
  <c r="BC442" i="15"/>
  <c r="AQ171" i="15"/>
  <c r="BC431" i="15"/>
  <c r="BC445" i="15"/>
  <c r="BD432" i="15"/>
  <c r="AP488" i="15"/>
  <c r="BC488" i="15"/>
  <c r="AQ468" i="15"/>
  <c r="AQ19" i="15"/>
  <c r="BC160" i="15"/>
  <c r="AP34" i="15"/>
  <c r="H34" i="9"/>
  <c r="N14" i="7"/>
  <c r="BC391" i="15"/>
  <c r="AP52" i="15"/>
  <c r="BC52" i="15"/>
  <c r="BD486" i="15"/>
  <c r="BC376" i="15"/>
  <c r="BD447" i="15"/>
  <c r="BC392" i="15"/>
  <c r="BC497" i="15"/>
  <c r="BD440" i="15"/>
  <c r="BD449" i="15"/>
  <c r="AP378" i="15"/>
  <c r="AP176" i="15"/>
  <c r="BD422" i="15"/>
  <c r="BC493" i="15"/>
  <c r="BD267" i="15"/>
  <c r="BD194" i="15"/>
  <c r="BC449" i="15"/>
  <c r="AQ27" i="15"/>
  <c r="AQ374" i="15"/>
  <c r="AQ205" i="15"/>
  <c r="AQ425" i="15"/>
  <c r="BC326" i="15"/>
  <c r="BC141" i="15"/>
  <c r="AQ269" i="15"/>
  <c r="AQ362" i="15"/>
  <c r="BD362" i="15"/>
  <c r="BD184" i="15"/>
  <c r="AQ478" i="15"/>
  <c r="AQ446" i="15"/>
  <c r="AQ254" i="15"/>
  <c r="BD414" i="15"/>
  <c r="BD398" i="15"/>
  <c r="BD261" i="15"/>
  <c r="BD450" i="15"/>
  <c r="BD351" i="15"/>
  <c r="BD444" i="15"/>
  <c r="BC505" i="15"/>
  <c r="BC433" i="15"/>
  <c r="BC432" i="15"/>
  <c r="BD483" i="15"/>
  <c r="AP247" i="15"/>
  <c r="BD102" i="15"/>
  <c r="AQ448" i="15"/>
  <c r="AP469" i="15"/>
  <c r="BD193" i="15"/>
  <c r="AQ133" i="15"/>
  <c r="BD133" i="15"/>
  <c r="BC457" i="15"/>
  <c r="BD306" i="15"/>
  <c r="AP332" i="15"/>
  <c r="BC332" i="15"/>
  <c r="BC184" i="15"/>
  <c r="AP184" i="15"/>
  <c r="AP409" i="15"/>
  <c r="BD376" i="15"/>
  <c r="BD392" i="15"/>
  <c r="BD229" i="15"/>
  <c r="BD429" i="15"/>
  <c r="BD413" i="15"/>
  <c r="BC338" i="15"/>
  <c r="AP452" i="15"/>
  <c r="BC452" i="15"/>
  <c r="AP267" i="15"/>
  <c r="BC267" i="15"/>
  <c r="AQ418" i="15"/>
  <c r="BC30" i="15"/>
  <c r="AQ394" i="15"/>
  <c r="BD453" i="15"/>
  <c r="BC312" i="15"/>
  <c r="AP398" i="15"/>
  <c r="BD312" i="15"/>
  <c r="BC156" i="15"/>
  <c r="BC35" i="15"/>
  <c r="AP35" i="15"/>
  <c r="BC43" i="15"/>
  <c r="AP43" i="15"/>
  <c r="BD482" i="15"/>
  <c r="BC498" i="15"/>
  <c r="BD399" i="15"/>
  <c r="AP123" i="15"/>
  <c r="BC281" i="15"/>
  <c r="AP281" i="15"/>
  <c r="AQ174" i="15"/>
  <c r="AP56" i="15"/>
  <c r="BC205" i="15"/>
  <c r="AP205" i="15"/>
  <c r="AQ170" i="15"/>
  <c r="BD170" i="15"/>
  <c r="AQ428" i="15"/>
  <c r="BC375" i="15"/>
  <c r="AP240" i="15"/>
  <c r="AP149" i="15"/>
  <c r="BD385" i="15"/>
  <c r="BD459" i="15"/>
  <c r="BD467" i="15"/>
  <c r="AQ416" i="15"/>
  <c r="AP483" i="15"/>
  <c r="BC483" i="15"/>
  <c r="BC423" i="15"/>
  <c r="AP423" i="15"/>
  <c r="AQ400" i="15"/>
  <c r="BD400" i="15"/>
  <c r="BD322" i="15"/>
  <c r="AQ322" i="15"/>
  <c r="AQ331" i="15"/>
  <c r="BD331" i="15"/>
  <c r="BD373" i="15"/>
  <c r="BC478" i="15"/>
  <c r="AQ472" i="15"/>
  <c r="BD204" i="15"/>
  <c r="BD508" i="15"/>
  <c r="BD485" i="15"/>
  <c r="BC382" i="15"/>
  <c r="AQ495" i="15"/>
  <c r="BD495" i="15"/>
  <c r="AQ244" i="15"/>
  <c r="BD244" i="15"/>
  <c r="AQ28" i="15"/>
  <c r="BD28" i="15"/>
  <c r="BC399" i="15"/>
  <c r="AP399" i="15"/>
  <c r="AQ305" i="15"/>
  <c r="BD305" i="15"/>
  <c r="AQ247" i="15"/>
  <c r="BD247" i="15"/>
  <c r="AQ375" i="15"/>
  <c r="BD389" i="15"/>
  <c r="AQ43" i="15"/>
  <c r="BD43" i="15"/>
  <c r="BD191" i="15"/>
  <c r="AQ191" i="15"/>
  <c r="BC389" i="15"/>
  <c r="BC509" i="15"/>
  <c r="BC479" i="15"/>
  <c r="AP479" i="15"/>
  <c r="AP405" i="15"/>
  <c r="BD386" i="15"/>
  <c r="AQ443" i="15"/>
  <c r="BD443" i="15"/>
  <c r="AP440" i="15"/>
  <c r="BC440" i="15"/>
  <c r="BD66" i="15"/>
  <c r="AQ66" i="15"/>
  <c r="AQ384" i="15"/>
  <c r="BD384" i="15"/>
  <c r="BD87" i="15"/>
  <c r="AQ87" i="15"/>
  <c r="BD326" i="15"/>
  <c r="AQ326" i="15"/>
  <c r="AQ134" i="15"/>
  <c r="BD134" i="15"/>
  <c r="AQ463" i="15"/>
  <c r="BD463" i="15"/>
  <c r="AQ275" i="15"/>
  <c r="BD275" i="15"/>
  <c r="BC477" i="15"/>
  <c r="AQ220" i="15"/>
  <c r="AQ417" i="15"/>
  <c r="BD417" i="15"/>
  <c r="AQ492" i="15"/>
  <c r="BD492" i="15"/>
  <c r="AQ382" i="15"/>
  <c r="BD442" i="15"/>
  <c r="AQ321" i="15"/>
  <c r="BD321" i="15"/>
  <c r="AQ371" i="15"/>
  <c r="BD371" i="15"/>
  <c r="AQ433" i="15"/>
  <c r="BD433" i="15"/>
  <c r="BD461" i="15"/>
  <c r="AQ461" i="15"/>
  <c r="BD474" i="15"/>
  <c r="AQ391" i="15"/>
  <c r="AQ388" i="15"/>
  <c r="BD388" i="15"/>
  <c r="AQ431" i="15"/>
  <c r="BD431" i="15"/>
  <c r="AQ197" i="15"/>
  <c r="BD290" i="15"/>
  <c r="AQ290" i="15"/>
  <c r="AP434" i="15"/>
  <c r="BC434" i="15"/>
  <c r="BD424" i="15"/>
  <c r="AQ424" i="15"/>
  <c r="BD401" i="15"/>
  <c r="BD438" i="15"/>
  <c r="AQ438" i="15"/>
  <c r="BC394" i="15"/>
  <c r="AP394" i="15"/>
  <c r="AP461" i="15"/>
  <c r="BC461" i="15"/>
  <c r="BC359" i="15"/>
  <c r="AP359" i="15"/>
  <c r="AP512" i="15"/>
  <c r="BC512" i="15"/>
  <c r="BD502" i="15"/>
  <c r="BC44" i="15"/>
  <c r="AP44" i="15"/>
  <c r="BD378" i="15"/>
  <c r="AQ378" i="15"/>
  <c r="BC103" i="15"/>
  <c r="AP103" i="15"/>
  <c r="BC499" i="15"/>
  <c r="BD454" i="15"/>
  <c r="AQ370" i="15"/>
  <c r="AQ494" i="15"/>
  <c r="AQ510" i="15"/>
  <c r="BD470" i="15"/>
  <c r="AQ500" i="15"/>
  <c r="BD500" i="15"/>
  <c r="BD262" i="15"/>
  <c r="AQ262" i="15"/>
  <c r="AQ403" i="15"/>
  <c r="BD403" i="15"/>
  <c r="BC455" i="15"/>
  <c r="AP455" i="15"/>
  <c r="AP153" i="15"/>
  <c r="BC153" i="15"/>
  <c r="BC112" i="15"/>
  <c r="AP112" i="15"/>
  <c r="BC64" i="15"/>
  <c r="AP64" i="15"/>
  <c r="BC495" i="15"/>
  <c r="BD512" i="15"/>
  <c r="AQ512" i="15"/>
  <c r="AQ462" i="15"/>
  <c r="BC458" i="15"/>
  <c r="BC39" i="15"/>
  <c r="AP504" i="15"/>
  <c r="BC504" i="15"/>
  <c r="AQ189" i="15"/>
  <c r="BD189" i="15"/>
  <c r="BC354" i="15"/>
  <c r="AP354" i="15"/>
  <c r="AP84" i="15"/>
  <c r="BC84" i="15"/>
  <c r="BD419" i="15"/>
  <c r="AQ419" i="15"/>
  <c r="AQ473" i="15"/>
  <c r="BD473" i="15"/>
  <c r="BC164" i="15"/>
  <c r="AP164" i="15"/>
  <c r="AQ381" i="15"/>
  <c r="BD381" i="15"/>
  <c r="AQ469" i="15"/>
  <c r="BD469" i="15"/>
  <c r="AQ497" i="15"/>
  <c r="BD497" i="15"/>
  <c r="BD377" i="15"/>
  <c r="AQ377" i="15"/>
  <c r="BC138" i="15"/>
  <c r="AP138" i="15"/>
  <c r="BC333" i="15"/>
  <c r="AP276" i="15"/>
  <c r="BC276" i="15"/>
  <c r="BC245" i="15"/>
  <c r="AP245" i="15"/>
  <c r="BC339" i="15"/>
  <c r="AP339" i="15"/>
  <c r="AQ372" i="15"/>
  <c r="BD372" i="15"/>
  <c r="BC248" i="15"/>
  <c r="AP248" i="15"/>
  <c r="AP197" i="15"/>
  <c r="BC197" i="15"/>
  <c r="AP309" i="15"/>
  <c r="BC309" i="15"/>
  <c r="BC305" i="15"/>
  <c r="AP305" i="15"/>
  <c r="AP345" i="15"/>
  <c r="BC345" i="15"/>
  <c r="BC362" i="15"/>
  <c r="AP362" i="15"/>
  <c r="AQ501" i="15"/>
  <c r="BD501" i="15"/>
  <c r="AQ496" i="15"/>
  <c r="BD496" i="15"/>
  <c r="AP224" i="15"/>
  <c r="BC224" i="15"/>
  <c r="BC507" i="15"/>
  <c r="AP507" i="15"/>
  <c r="AL542" i="15"/>
  <c r="AM542" i="15"/>
  <c r="AQ368" i="15"/>
  <c r="BD368" i="15"/>
  <c r="BD427" i="15"/>
  <c r="AQ427" i="15"/>
  <c r="AQ409" i="15"/>
  <c r="BD409" i="15"/>
  <c r="BC171" i="15" l="1"/>
  <c r="BD199" i="15"/>
  <c r="AP241" i="15"/>
  <c r="BD304" i="15"/>
  <c r="AQ159" i="15"/>
  <c r="BD345" i="15"/>
  <c r="BD240" i="15"/>
  <c r="AQ30" i="15"/>
  <c r="BD39" i="15"/>
  <c r="AP238" i="15"/>
  <c r="AP28" i="15"/>
  <c r="AP290" i="15"/>
  <c r="AP361" i="15"/>
  <c r="AP366" i="15"/>
  <c r="BD203" i="15"/>
  <c r="BC33" i="15"/>
  <c r="AQ198" i="15"/>
  <c r="AQ117" i="15"/>
  <c r="BD255" i="15"/>
  <c r="AP211" i="15"/>
  <c r="BD149" i="15"/>
  <c r="AP351" i="15"/>
  <c r="BD25" i="15"/>
  <c r="BC170" i="15"/>
  <c r="AQ12" i="15"/>
  <c r="BD311" i="15"/>
  <c r="AQ354" i="15"/>
  <c r="BC80" i="15"/>
  <c r="AP124" i="15"/>
  <c r="AQ234" i="15"/>
  <c r="BD52" i="15"/>
  <c r="BC40" i="15"/>
  <c r="AP158" i="15"/>
  <c r="BD84" i="15"/>
  <c r="K19" i="10"/>
  <c r="M19" i="10" s="1"/>
  <c r="J18" i="10"/>
  <c r="K23" i="10"/>
  <c r="M23" i="10" s="1"/>
  <c r="J21" i="10"/>
  <c r="K21" i="10" s="1"/>
  <c r="M21" i="10" s="1"/>
  <c r="J31" i="10"/>
  <c r="K31" i="10" s="1"/>
  <c r="M31" i="10" s="1"/>
  <c r="K16" i="10"/>
  <c r="M16" i="10" s="1"/>
  <c r="J26" i="10"/>
  <c r="K26" i="10"/>
  <c r="M26" i="10" s="1"/>
  <c r="J27" i="10"/>
  <c r="K27" i="10" s="1"/>
  <c r="M27" i="10" s="1"/>
  <c r="AQ160" i="15"/>
  <c r="J15" i="10"/>
  <c r="J22" i="10"/>
  <c r="K22" i="10" s="1"/>
  <c r="M22" i="10" s="1"/>
  <c r="J29" i="10"/>
  <c r="K29" i="10" s="1"/>
  <c r="M29" i="10" s="1"/>
  <c r="K17" i="10"/>
  <c r="M17" i="10" s="1"/>
  <c r="K20" i="10"/>
  <c r="M20" i="10" s="1"/>
  <c r="K18" i="10"/>
  <c r="M18" i="10" s="1"/>
  <c r="K28" i="10"/>
  <c r="M28" i="10" s="1"/>
  <c r="K25" i="10"/>
  <c r="M25" i="10" s="1"/>
  <c r="AE96" i="16"/>
  <c r="AM11" i="16"/>
  <c r="AD96" i="16"/>
  <c r="AQ172" i="15"/>
  <c r="AP353" i="15"/>
  <c r="BD219" i="15"/>
  <c r="BD68" i="15"/>
  <c r="BC102" i="15"/>
  <c r="AQ309" i="15"/>
  <c r="AQ89" i="15"/>
  <c r="AN42" i="16"/>
  <c r="AM42" i="16"/>
  <c r="AF101" i="16"/>
  <c r="AP27" i="15"/>
  <c r="BC287" i="15"/>
  <c r="BC322" i="15"/>
  <c r="AQ252" i="15"/>
  <c r="BC244" i="15"/>
  <c r="AP132" i="15"/>
  <c r="AQ92" i="15"/>
  <c r="AQ281" i="15"/>
  <c r="BC258" i="15"/>
  <c r="AP73" i="15"/>
  <c r="AP107" i="15"/>
  <c r="BC229" i="15"/>
  <c r="AQ186" i="15"/>
  <c r="BC49" i="15"/>
  <c r="BD147" i="15"/>
  <c r="AP294" i="15"/>
  <c r="BD91" i="15"/>
  <c r="BD26" i="15"/>
  <c r="AQ338" i="15"/>
  <c r="BC129" i="15"/>
  <c r="AQ109" i="15"/>
  <c r="AQ230" i="15"/>
  <c r="BD62" i="15"/>
  <c r="AP93" i="15"/>
  <c r="BC271" i="15"/>
  <c r="AQ350" i="15"/>
  <c r="AP32" i="15"/>
  <c r="AQ81" i="15"/>
  <c r="AQ200" i="15"/>
  <c r="BD129" i="15"/>
  <c r="AP144" i="15"/>
  <c r="AQ243" i="15"/>
  <c r="BD256" i="15"/>
  <c r="AQ218" i="15"/>
  <c r="AQ359" i="15"/>
  <c r="BD310" i="15"/>
  <c r="BD328" i="15"/>
  <c r="BC337" i="15"/>
  <c r="BD349" i="15"/>
  <c r="BD179" i="15"/>
  <c r="BD195" i="15"/>
  <c r="AP104" i="15"/>
  <c r="BC75" i="15"/>
  <c r="BC96" i="15"/>
  <c r="BC189" i="15"/>
  <c r="BC155" i="15"/>
  <c r="AP196" i="15"/>
  <c r="AQ207" i="15"/>
  <c r="BC179" i="15"/>
  <c r="AQ348" i="15"/>
  <c r="BD185" i="15"/>
  <c r="AP143" i="15"/>
  <c r="AP213" i="15"/>
  <c r="BD111" i="15"/>
  <c r="BD196" i="15"/>
  <c r="AP69" i="15"/>
  <c r="AQ93" i="15"/>
  <c r="BD258" i="15"/>
  <c r="AQ266" i="15"/>
  <c r="AP94" i="15"/>
  <c r="AP45" i="15"/>
  <c r="AQ337" i="15"/>
  <c r="BD105" i="15"/>
  <c r="AQ352" i="15"/>
  <c r="BD188" i="15"/>
  <c r="AQ121" i="15"/>
  <c r="BC292" i="15"/>
  <c r="AP169" i="15"/>
  <c r="AP100" i="15"/>
  <c r="AP20" i="15"/>
  <c r="AP246" i="15"/>
  <c r="AP300" i="15"/>
  <c r="AP327" i="15"/>
  <c r="BC348" i="15"/>
  <c r="AQ118" i="15"/>
  <c r="BD69" i="15"/>
  <c r="AQ367" i="15"/>
  <c r="AQ14" i="15"/>
  <c r="AP186" i="15"/>
  <c r="AQ73" i="15"/>
  <c r="BD246" i="15"/>
  <c r="BD36" i="15"/>
  <c r="AQ235" i="15"/>
  <c r="AP167" i="15"/>
  <c r="AP342" i="15"/>
  <c r="AP76" i="15"/>
  <c r="AQ245" i="15"/>
  <c r="BD76" i="15"/>
  <c r="AQ300" i="15"/>
  <c r="AQ110" i="15"/>
  <c r="BD301" i="15"/>
  <c r="BD242" i="15"/>
  <c r="AP364" i="15"/>
  <c r="BC15" i="15"/>
  <c r="BD86" i="15"/>
  <c r="AP214" i="15"/>
  <c r="AP257" i="15"/>
  <c r="BC51" i="15"/>
  <c r="BC334" i="15"/>
  <c r="BC187" i="15"/>
  <c r="BD295" i="15"/>
  <c r="BC133" i="15"/>
  <c r="AP140" i="15"/>
  <c r="AP365" i="15"/>
  <c r="BC230" i="15"/>
  <c r="BC206" i="15"/>
  <c r="BC367" i="15"/>
  <c r="AQ224" i="15"/>
  <c r="BD299" i="15"/>
  <c r="BC317" i="15"/>
  <c r="BC250" i="15"/>
  <c r="BC218" i="15"/>
  <c r="AP210" i="15"/>
  <c r="BD24" i="15"/>
  <c r="BC221" i="15"/>
  <c r="AQ146" i="15"/>
  <c r="AP358" i="15"/>
  <c r="AQ294" i="15"/>
  <c r="AP208" i="15"/>
  <c r="BD166" i="15"/>
  <c r="AQ223" i="15"/>
  <c r="BC286" i="15"/>
  <c r="AQ313" i="15"/>
  <c r="BC356" i="15"/>
  <c r="AP115" i="15"/>
  <c r="AP251" i="15"/>
  <c r="BC272" i="15"/>
  <c r="BD187" i="15"/>
  <c r="BD206" i="15"/>
  <c r="BD274" i="15"/>
  <c r="BC59" i="15"/>
  <c r="AP225" i="15"/>
  <c r="BD251" i="15"/>
  <c r="AP111" i="15"/>
  <c r="BC128" i="15"/>
  <c r="BD182" i="15"/>
  <c r="AQ249" i="15"/>
  <c r="P47" i="7"/>
  <c r="BD168" i="15"/>
  <c r="AQ169" i="15"/>
  <c r="AP85" i="15"/>
  <c r="AQ336" i="15"/>
  <c r="BC259" i="15"/>
  <c r="AQ83" i="15"/>
  <c r="BD353" i="15"/>
  <c r="AQ67" i="15"/>
  <c r="AP108" i="15"/>
  <c r="AP201" i="15"/>
  <c r="BC38" i="15"/>
  <c r="AQ150" i="15"/>
  <c r="BC308" i="15"/>
  <c r="BC18" i="15"/>
  <c r="BD82" i="15"/>
  <c r="AP163" i="15"/>
  <c r="BD263" i="15"/>
  <c r="AQ128" i="15"/>
  <c r="AQ260" i="15"/>
  <c r="BC88" i="15"/>
  <c r="BD79" i="15"/>
  <c r="BC324" i="15"/>
  <c r="BD11" i="15"/>
  <c r="AQ216" i="15"/>
  <c r="BD296" i="15"/>
  <c r="BD280" i="15"/>
  <c r="AQ282" i="15"/>
  <c r="BC360" i="15"/>
  <c r="BD215" i="15"/>
  <c r="BC316" i="15"/>
  <c r="BD364" i="15"/>
  <c r="BD74" i="15"/>
  <c r="AQ357" i="15"/>
  <c r="BD344" i="15"/>
  <c r="AQ132" i="15"/>
  <c r="BD265" i="15"/>
  <c r="AQ365" i="15"/>
  <c r="BD228" i="15"/>
  <c r="AQ13" i="15"/>
  <c r="BC137" i="15"/>
  <c r="AQ50" i="15"/>
  <c r="BD51" i="15"/>
  <c r="BC194" i="15"/>
  <c r="AP130" i="15"/>
  <c r="BD55" i="15"/>
  <c r="BD320" i="15"/>
  <c r="BD330" i="15"/>
  <c r="AP22" i="15"/>
  <c r="BD284" i="15"/>
  <c r="BD119" i="15"/>
  <c r="AQ120" i="15"/>
  <c r="BC231" i="15"/>
  <c r="BD37" i="15"/>
  <c r="BD16" i="15"/>
  <c r="BC347" i="15"/>
  <c r="BD222" i="15"/>
  <c r="BD302" i="15"/>
  <c r="BC207" i="15"/>
  <c r="AP346" i="15"/>
  <c r="BD77" i="15"/>
  <c r="AQ314" i="15"/>
  <c r="BC135" i="15"/>
  <c r="BC151" i="15"/>
  <c r="AP185" i="15"/>
  <c r="BD291" i="15"/>
  <c r="AP180" i="15"/>
  <c r="BC53" i="15"/>
  <c r="AP193" i="15"/>
  <c r="BD329" i="15"/>
  <c r="AQ209" i="15"/>
  <c r="AP181" i="15"/>
  <c r="AP154" i="15"/>
  <c r="BD15" i="15"/>
  <c r="AQ95" i="15"/>
  <c r="BD78" i="15"/>
  <c r="AP36" i="15"/>
  <c r="BD47" i="15"/>
  <c r="BD48" i="15"/>
  <c r="AP17" i="15"/>
  <c r="BC256" i="15"/>
  <c r="AQ38" i="15"/>
  <c r="AP142" i="15"/>
  <c r="AP113" i="15"/>
  <c r="BC162" i="15"/>
  <c r="AP152" i="15"/>
  <c r="AP122" i="15"/>
  <c r="AP285" i="15"/>
  <c r="BD335" i="15"/>
  <c r="AQ236" i="15"/>
  <c r="BD21" i="15"/>
  <c r="BD307" i="15"/>
  <c r="AQ341" i="15"/>
  <c r="BC83" i="15"/>
  <c r="BD60" i="15"/>
  <c r="AQ277" i="15"/>
  <c r="AP192" i="15"/>
  <c r="AP29" i="15"/>
  <c r="AQ278" i="15"/>
  <c r="BC121" i="15"/>
  <c r="AP270" i="15"/>
  <c r="BC335" i="15"/>
  <c r="BD85" i="15"/>
  <c r="AP283" i="15"/>
  <c r="AQ257" i="15"/>
  <c r="BD292" i="15"/>
  <c r="AQ283" i="15"/>
  <c r="AP99" i="15"/>
  <c r="AP217" i="15"/>
  <c r="AP235" i="15"/>
  <c r="AP126" i="15"/>
  <c r="BC202" i="15"/>
  <c r="BD225" i="15"/>
  <c r="AQ279" i="15"/>
  <c r="BD285" i="15"/>
  <c r="BD289" i="15"/>
  <c r="BC63" i="15"/>
  <c r="AP223" i="15"/>
  <c r="BC321" i="15"/>
  <c r="BD355" i="15"/>
  <c r="AQ343" i="15"/>
  <c r="AP227" i="15"/>
  <c r="AQ148" i="15"/>
  <c r="AQ136" i="15"/>
  <c r="AP26" i="15"/>
  <c r="BC314" i="15"/>
  <c r="AP310" i="15"/>
  <c r="BC323" i="15"/>
  <c r="BC263" i="15"/>
  <c r="AQ271" i="15"/>
  <c r="AQ142" i="15"/>
  <c r="BC188" i="15"/>
  <c r="BD316" i="15"/>
  <c r="BC23" i="15"/>
  <c r="AP82" i="15"/>
  <c r="BC13" i="15"/>
  <c r="AQ288" i="15"/>
  <c r="AP139" i="15"/>
  <c r="AQ154" i="15"/>
  <c r="BC220" i="15"/>
  <c r="BC306" i="15"/>
  <c r="AP306" i="15"/>
  <c r="BC296" i="15"/>
  <c r="AP302" i="15"/>
  <c r="AP16" i="15"/>
  <c r="BC74" i="15"/>
  <c r="BD96" i="15"/>
  <c r="BC55" i="15"/>
  <c r="AP222" i="15"/>
  <c r="AP264" i="15"/>
  <c r="BD360" i="15"/>
  <c r="AQ272" i="15"/>
  <c r="AP320" i="15"/>
  <c r="AQ32" i="15"/>
  <c r="BC282" i="15"/>
  <c r="AQ346" i="15"/>
  <c r="BC37" i="15"/>
  <c r="AQ135" i="15"/>
  <c r="AQ130" i="15"/>
  <c r="AQ213" i="15"/>
  <c r="BD46" i="15"/>
  <c r="BD18" i="15"/>
  <c r="BC72" i="15"/>
  <c r="AP72" i="15"/>
  <c r="BC313" i="15"/>
  <c r="BC277" i="15"/>
  <c r="AQ17" i="15"/>
  <c r="BD17" i="15"/>
  <c r="BC161" i="15"/>
  <c r="AP161" i="15"/>
  <c r="AP336" i="15"/>
  <c r="BC336" i="15"/>
  <c r="AP341" i="15"/>
  <c r="AP289" i="15"/>
  <c r="BD237" i="15"/>
  <c r="BD151" i="15"/>
  <c r="BC148" i="15"/>
  <c r="BD49" i="15"/>
  <c r="AP278" i="15"/>
  <c r="BC355" i="15"/>
  <c r="AP303" i="15"/>
  <c r="AQ122" i="15"/>
  <c r="BD358" i="15"/>
  <c r="BD71" i="15"/>
  <c r="BC253" i="15"/>
  <c r="AP253" i="15"/>
  <c r="BC237" i="15"/>
  <c r="AP237" i="15"/>
  <c r="BC71" i="15"/>
  <c r="AP71" i="15"/>
  <c r="AQ97" i="15"/>
  <c r="BD97" i="15"/>
  <c r="BC328" i="15"/>
  <c r="AP328" i="15"/>
  <c r="AP243" i="15"/>
  <c r="BC243" i="15"/>
  <c r="AP273" i="15"/>
  <c r="BC273" i="15"/>
  <c r="BC352" i="15"/>
  <c r="AP352" i="15"/>
  <c r="BD303" i="15"/>
  <c r="AQ303" i="15"/>
  <c r="BC293" i="15"/>
  <c r="AP293" i="15"/>
  <c r="AQ65" i="15"/>
  <c r="BD65" i="15"/>
  <c r="AQ356" i="15"/>
  <c r="BD356" i="15"/>
  <c r="AQ221" i="15"/>
  <c r="BD221" i="15"/>
  <c r="AQ315" i="15"/>
  <c r="BD315" i="15"/>
  <c r="AP291" i="15"/>
  <c r="BC279" i="15"/>
  <c r="AQ106" i="15"/>
  <c r="BC315" i="15"/>
  <c r="BC50" i="15"/>
  <c r="BC150" i="15"/>
  <c r="AQ113" i="15"/>
  <c r="BC119" i="15"/>
  <c r="BC120" i="15"/>
  <c r="AQ259" i="15"/>
  <c r="BD20" i="15"/>
  <c r="BC65" i="15"/>
  <c r="AP24" i="15"/>
  <c r="BC24" i="15"/>
  <c r="BC41" i="15"/>
  <c r="AP41" i="15"/>
  <c r="AQ250" i="15"/>
  <c r="BD250" i="15"/>
  <c r="AQ232" i="15"/>
  <c r="BD232" i="15"/>
  <c r="AP182" i="15"/>
  <c r="BC182" i="15"/>
  <c r="BC14" i="15"/>
  <c r="AP14" i="15"/>
  <c r="BC110" i="15"/>
  <c r="AP110" i="15"/>
  <c r="AP62" i="15"/>
  <c r="BC62" i="15"/>
  <c r="BD273" i="15"/>
  <c r="AQ273" i="15"/>
  <c r="BD270" i="15"/>
  <c r="AQ270" i="15"/>
  <c r="BC147" i="15"/>
  <c r="AP147" i="15"/>
  <c r="BC125" i="15"/>
  <c r="AP125" i="15"/>
  <c r="AQ217" i="15"/>
  <c r="BD217" i="15"/>
  <c r="BC280" i="15"/>
  <c r="AP280" i="15"/>
  <c r="AQ54" i="15"/>
  <c r="BD54" i="15"/>
  <c r="AQ143" i="15"/>
  <c r="BD143" i="15"/>
  <c r="BD57" i="15"/>
  <c r="BD192" i="15"/>
  <c r="BD162" i="15"/>
  <c r="BC329" i="15"/>
  <c r="AQ107" i="15"/>
  <c r="AP330" i="15"/>
  <c r="BC78" i="15"/>
  <c r="AP239" i="15"/>
  <c r="AQ137" i="15"/>
  <c r="AQ227" i="15"/>
  <c r="AQ41" i="15"/>
  <c r="BD41" i="15"/>
  <c r="BC350" i="15"/>
  <c r="AP350" i="15"/>
  <c r="AP266" i="15"/>
  <c r="BC266" i="15"/>
  <c r="AP232" i="15"/>
  <c r="BC232" i="15"/>
  <c r="AP200" i="15"/>
  <c r="BC200" i="15"/>
  <c r="BC301" i="15"/>
  <c r="AP301" i="15"/>
  <c r="AP81" i="15"/>
  <c r="BC81" i="15"/>
  <c r="AP349" i="15"/>
  <c r="BC349" i="15"/>
  <c r="BD167" i="15"/>
  <c r="AQ167" i="15"/>
  <c r="BD144" i="15"/>
  <c r="AQ144" i="15"/>
  <c r="AP357" i="15"/>
  <c r="BC357" i="15"/>
  <c r="BC118" i="15"/>
  <c r="AP118" i="15"/>
  <c r="AQ334" i="15"/>
  <c r="BD334" i="15"/>
  <c r="AQ104" i="15"/>
  <c r="BD104" i="15"/>
  <c r="BD208" i="15"/>
  <c r="AQ208" i="15"/>
  <c r="BC91" i="15"/>
  <c r="AP91" i="15"/>
  <c r="BD125" i="15"/>
  <c r="AQ125" i="15"/>
  <c r="AQ115" i="15"/>
  <c r="BD115" i="15"/>
  <c r="AP166" i="15"/>
  <c r="BC166" i="15"/>
  <c r="BD94" i="15"/>
  <c r="AQ94" i="15"/>
  <c r="BC299" i="15"/>
  <c r="AP299" i="15"/>
  <c r="BD202" i="15"/>
  <c r="AQ202" i="15"/>
  <c r="BC79" i="15"/>
  <c r="BD101" i="15"/>
  <c r="AQ253" i="15"/>
  <c r="BD308" i="15"/>
  <c r="BD239" i="15"/>
  <c r="BD63" i="15"/>
  <c r="BC97" i="15"/>
  <c r="AQ145" i="15"/>
  <c r="BC106" i="15"/>
  <c r="BD201" i="15"/>
  <c r="BD126" i="15"/>
  <c r="AP165" i="15"/>
  <c r="BD264" i="15"/>
  <c r="AQ264" i="15"/>
  <c r="BD61" i="15"/>
  <c r="AQ61" i="15"/>
  <c r="AQ139" i="15"/>
  <c r="BD139" i="15"/>
  <c r="BC109" i="15"/>
  <c r="AP109" i="15"/>
  <c r="AP46" i="15"/>
  <c r="BC46" i="15"/>
  <c r="AP288" i="15"/>
  <c r="BC288" i="15"/>
  <c r="AP95" i="15"/>
  <c r="BC95" i="15"/>
  <c r="AP307" i="15"/>
  <c r="BC60" i="15"/>
  <c r="AQ59" i="15"/>
  <c r="BD293" i="15"/>
  <c r="BD342" i="15"/>
  <c r="AQ72" i="15"/>
  <c r="AP67" i="15"/>
  <c r="AQ22" i="15"/>
  <c r="BD22" i="15"/>
  <c r="AP284" i="15"/>
  <c r="BC284" i="15"/>
  <c r="BD75" i="15"/>
  <c r="AQ75" i="15"/>
  <c r="BC265" i="15"/>
  <c r="AP265" i="15"/>
  <c r="AQ231" i="15"/>
  <c r="BD231" i="15"/>
  <c r="AP215" i="15"/>
  <c r="BC215" i="15"/>
  <c r="AP216" i="15"/>
  <c r="BC216" i="15"/>
  <c r="AQ88" i="15"/>
  <c r="BD88" i="15"/>
  <c r="BD181" i="15"/>
  <c r="AQ181" i="15"/>
  <c r="AQ53" i="15"/>
  <c r="BD53" i="15"/>
  <c r="AP61" i="15"/>
  <c r="BC61" i="15"/>
  <c r="AP344" i="15"/>
  <c r="BC344" i="15"/>
  <c r="BD180" i="15"/>
  <c r="AQ180" i="15"/>
  <c r="BD324" i="15"/>
  <c r="AQ324" i="15"/>
  <c r="BC209" i="15"/>
  <c r="AP209" i="15"/>
  <c r="AP260" i="15"/>
  <c r="BC260" i="15"/>
  <c r="BC228" i="15"/>
  <c r="AP228" i="15"/>
  <c r="AP105" i="15"/>
  <c r="BC105" i="15"/>
  <c r="BD152" i="15"/>
  <c r="AQ152" i="15"/>
  <c r="AP77" i="15"/>
  <c r="BC77" i="15"/>
  <c r="AP236" i="15"/>
  <c r="BC249" i="15"/>
  <c r="BD210" i="15"/>
  <c r="BD161" i="15"/>
  <c r="BD163" i="15"/>
  <c r="BD286" i="15"/>
  <c r="AP343" i="15"/>
  <c r="AQ157" i="15"/>
  <c r="BD29" i="15"/>
  <c r="BC11" i="15"/>
  <c r="BC136" i="15"/>
  <c r="AP21" i="15"/>
  <c r="BC48" i="15"/>
  <c r="AP47" i="15"/>
  <c r="AP57" i="15"/>
  <c r="BC57" i="15"/>
  <c r="AQ165" i="15"/>
  <c r="BD165" i="15"/>
  <c r="BC101" i="15"/>
  <c r="AP101" i="15"/>
  <c r="AP54" i="15"/>
  <c r="BC54" i="15"/>
  <c r="AQ23" i="15"/>
  <c r="BD23" i="15"/>
  <c r="AP157" i="15"/>
  <c r="BC157" i="15"/>
  <c r="AP145" i="15"/>
  <c r="BC145" i="15"/>
  <c r="AQ100" i="15"/>
  <c r="BD100" i="15"/>
  <c r="AO540" i="15"/>
  <c r="AN12" i="16"/>
  <c r="AM12" i="16"/>
  <c r="AN540" i="15"/>
  <c r="M40" i="10" l="1"/>
  <c r="K15" i="10"/>
  <c r="M15" i="10" s="1"/>
  <c r="J35" i="10"/>
  <c r="AM96" i="16"/>
  <c r="AN96" i="16"/>
  <c r="I4" i="16"/>
  <c r="H26" i="9" s="1"/>
  <c r="H29" i="9" s="1"/>
  <c r="I29" i="9" s="1"/>
  <c r="N11" i="7"/>
  <c r="N15" i="7" s="1"/>
  <c r="O14" i="7" s="1"/>
  <c r="BD540" i="15"/>
  <c r="BC540" i="15"/>
  <c r="AP540" i="15"/>
  <c r="AQ540" i="15"/>
  <c r="AD102" i="16"/>
  <c r="I5" i="16"/>
  <c r="AF96" i="16"/>
  <c r="AG101" i="16" s="1"/>
  <c r="AE122" i="16" s="1"/>
  <c r="AE123" i="16" s="1"/>
  <c r="AD105" i="16"/>
  <c r="AE105" i="16"/>
  <c r="AE102" i="16"/>
  <c r="I5" i="15"/>
  <c r="AO545" i="15"/>
  <c r="O11" i="7" l="1"/>
  <c r="AN97" i="16"/>
  <c r="O12" i="7"/>
  <c r="O13" i="7"/>
  <c r="AQ545" i="15"/>
  <c r="AQ574" i="15" s="1"/>
  <c r="BD541" i="15"/>
  <c r="I8" i="16"/>
  <c r="J8" i="16" s="1"/>
  <c r="H19" i="9"/>
  <c r="H22" i="9" s="1"/>
  <c r="I22" i="9" s="1"/>
  <c r="H12" i="9"/>
  <c r="I8" i="15"/>
  <c r="J8" i="15" s="1"/>
  <c r="AO546" i="15"/>
  <c r="O15" i="7" l="1"/>
  <c r="J12" i="9"/>
  <c r="H33" i="9" s="1"/>
  <c r="H15" i="9"/>
  <c r="I15" i="9" s="1"/>
  <c r="H36" i="9" l="1"/>
  <c r="I36" i="9" s="1"/>
  <c r="O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E9" authorId="0" shapeId="0" xr:uid="{00000000-0006-0000-0100-000001000000}">
      <text>
        <r>
          <rPr>
            <b/>
            <sz val="9"/>
            <color indexed="81"/>
            <rFont val="Tahoma"/>
            <family val="2"/>
          </rPr>
          <t>Author:</t>
        </r>
        <r>
          <rPr>
            <sz val="9"/>
            <color indexed="81"/>
            <rFont val="Tahoma"/>
            <family val="2"/>
          </rPr>
          <t xml:space="preserve">
Default of 365 days times 24 hours per day</t>
        </r>
      </text>
    </comment>
    <comment ref="AG9" authorId="0" shapeId="0" xr:uid="{00000000-0006-0000-0100-000002000000}">
      <text>
        <r>
          <rPr>
            <b/>
            <sz val="9"/>
            <color indexed="81"/>
            <rFont val="Tahoma"/>
            <family val="2"/>
          </rPr>
          <t>Author:</t>
        </r>
        <r>
          <rPr>
            <sz val="9"/>
            <color indexed="81"/>
            <rFont val="Tahoma"/>
            <family val="2"/>
          </rPr>
          <t xml:space="preserve">
Changing plant OF only changes HOURS, not kW.</t>
        </r>
      </text>
    </comment>
    <comment ref="AH9" authorId="0" shapeId="0" xr:uid="{00000000-0006-0000-0100-000003000000}">
      <text>
        <r>
          <rPr>
            <b/>
            <sz val="9"/>
            <color indexed="81"/>
            <rFont val="Tahoma"/>
            <family val="2"/>
          </rPr>
          <t>Author:</t>
        </r>
        <r>
          <rPr>
            <sz val="9"/>
            <color indexed="81"/>
            <rFont val="Tahoma"/>
            <family val="2"/>
          </rPr>
          <t xml:space="preserve">
Changing LF will change the calculated kW.</t>
        </r>
      </text>
    </comment>
    <comment ref="AI9" authorId="0" shapeId="0" xr:uid="{00000000-0006-0000-0100-000004000000}">
      <text>
        <r>
          <rPr>
            <b/>
            <sz val="9"/>
            <color indexed="81"/>
            <rFont val="Tahoma"/>
            <family val="2"/>
          </rPr>
          <t>Author:</t>
        </r>
        <r>
          <rPr>
            <sz val="9"/>
            <color indexed="81"/>
            <rFont val="Tahoma"/>
            <family val="2"/>
          </rPr>
          <t xml:space="preserve">
Changing LF will change the calculated kW.</t>
        </r>
      </text>
    </comment>
    <comment ref="D10" authorId="0" shapeId="0" xr:uid="{00000000-0006-0000-0100-000005000000}">
      <text>
        <r>
          <rPr>
            <b/>
            <sz val="9"/>
            <color indexed="81"/>
            <rFont val="Tahoma"/>
            <family val="2"/>
          </rPr>
          <t>Author:</t>
        </r>
        <r>
          <rPr>
            <sz val="9"/>
            <color indexed="81"/>
            <rFont val="Tahoma"/>
            <family val="2"/>
          </rPr>
          <t xml:space="preserve">
Pull down menu.</t>
        </r>
      </text>
    </comment>
    <comment ref="E10" authorId="0" shapeId="0" xr:uid="{00000000-0006-0000-0100-000006000000}">
      <text>
        <r>
          <rPr>
            <b/>
            <sz val="9"/>
            <color indexed="81"/>
            <rFont val="Tahoma"/>
            <family val="2"/>
          </rPr>
          <t>Author:</t>
        </r>
        <r>
          <rPr>
            <sz val="9"/>
            <color indexed="81"/>
            <rFont val="Tahoma"/>
            <family val="2"/>
          </rPr>
          <t xml:space="preserve">
Name or Number</t>
        </r>
      </text>
    </comment>
    <comment ref="K10" authorId="0" shapeId="0" xr:uid="{00000000-0006-0000-0100-000007000000}">
      <text>
        <r>
          <rPr>
            <b/>
            <sz val="9"/>
            <color indexed="81"/>
            <rFont val="Tahoma"/>
            <family val="2"/>
          </rPr>
          <t>Author:</t>
        </r>
        <r>
          <rPr>
            <sz val="9"/>
            <color indexed="81"/>
            <rFont val="Tahoma"/>
            <family val="2"/>
          </rPr>
          <t xml:space="preserve">
This is the item actually consuming the electricity</t>
        </r>
      </text>
    </comment>
    <comment ref="Q10" authorId="0" shapeId="0" xr:uid="{00000000-0006-0000-0100-000008000000}">
      <text>
        <r>
          <rPr>
            <b/>
            <sz val="9"/>
            <color indexed="81"/>
            <rFont val="Tahoma"/>
            <family val="2"/>
          </rPr>
          <t>Author:</t>
        </r>
        <r>
          <rPr>
            <sz val="9"/>
            <color indexed="81"/>
            <rFont val="Tahoma"/>
            <family val="2"/>
          </rPr>
          <t xml:space="preserve">
Must put in a ZERO for non-motor loads.</t>
        </r>
      </text>
    </comment>
    <comment ref="R10" authorId="0" shapeId="0" xr:uid="{00000000-0006-0000-0100-000009000000}">
      <text>
        <r>
          <rPr>
            <b/>
            <sz val="9"/>
            <color indexed="81"/>
            <rFont val="Tahoma"/>
            <family val="2"/>
          </rPr>
          <t>Author:</t>
        </r>
        <r>
          <rPr>
            <sz val="9"/>
            <color indexed="81"/>
            <rFont val="Tahoma"/>
            <family val="2"/>
          </rPr>
          <t xml:space="preserve">
Use nameplate data, if available.
Use EPAct Motor Efficiencies, if unknown.
Table of EPAct shown on tab 3C1.</t>
        </r>
      </text>
    </comment>
    <comment ref="S10" authorId="0" shapeId="0" xr:uid="{00000000-0006-0000-0100-00000A000000}">
      <text>
        <r>
          <rPr>
            <b/>
            <sz val="9"/>
            <color indexed="81"/>
            <rFont val="Tahoma"/>
            <family val="2"/>
          </rPr>
          <t>Author:</t>
        </r>
        <r>
          <rPr>
            <sz val="9"/>
            <color indexed="81"/>
            <rFont val="Tahoma"/>
            <family val="2"/>
          </rPr>
          <t xml:space="preserve">
RLA - "Running Load Amps" - current drawn during normal operation of electric motor, typically measured in plant operations and is typically lower than FLA.</t>
        </r>
      </text>
    </comment>
    <comment ref="T10" authorId="0" shapeId="0" xr:uid="{00000000-0006-0000-0100-00000B000000}">
      <text>
        <r>
          <rPr>
            <b/>
            <sz val="9"/>
            <color indexed="81"/>
            <rFont val="Tahoma"/>
            <family val="2"/>
          </rPr>
          <t xml:space="preserve">Michael Stowe:
</t>
        </r>
        <r>
          <rPr>
            <sz val="9"/>
            <color indexed="81"/>
            <rFont val="Tahoma"/>
            <family val="2"/>
          </rPr>
          <t>FLA - "Full Load Amps" - amount of current drawn when full-load torque and horsepower is reached for the motor, typically determined in a lab environment. Typically higher than RLA.</t>
        </r>
      </text>
    </comment>
    <comment ref="W10" authorId="0" shapeId="0" xr:uid="{00000000-0006-0000-0100-00000C000000}">
      <text>
        <r>
          <rPr>
            <b/>
            <sz val="9"/>
            <color indexed="81"/>
            <rFont val="Tahoma"/>
            <family val="2"/>
          </rPr>
          <t>Author:</t>
        </r>
        <r>
          <rPr>
            <sz val="9"/>
            <color indexed="81"/>
            <rFont val="Tahoma"/>
            <family val="2"/>
          </rPr>
          <t xml:space="preserve">
For NON Motors.
Panel breaker or feeder amps from nameplate or label plate on a particular circuit or control panel.</t>
        </r>
      </text>
    </comment>
    <comment ref="AF10" authorId="0" shapeId="0" xr:uid="{00000000-0006-0000-0100-00000D000000}">
      <text>
        <r>
          <rPr>
            <b/>
            <sz val="9"/>
            <color indexed="81"/>
            <rFont val="Tahoma"/>
            <family val="2"/>
          </rPr>
          <t>Author:</t>
        </r>
        <r>
          <rPr>
            <sz val="9"/>
            <color indexed="81"/>
            <rFont val="Tahoma"/>
            <family val="2"/>
          </rPr>
          <t xml:space="preserve">
Typically, if you have a diversity factor &lt; 100% you will NOT also derate load factor. Only one or the other of DF or LF should be derated. Changing DF will change calculated kW</t>
        </r>
      </text>
    </comment>
    <comment ref="AG10" authorId="0" shapeId="0" xr:uid="{00000000-0006-0000-0100-00000E000000}">
      <text>
        <r>
          <rPr>
            <b/>
            <sz val="9"/>
            <color indexed="81"/>
            <rFont val="Tahoma"/>
            <family val="2"/>
          </rPr>
          <t>Author:</t>
        </r>
        <r>
          <rPr>
            <sz val="9"/>
            <color indexed="81"/>
            <rFont val="Tahoma"/>
            <family val="2"/>
          </rPr>
          <t xml:space="preserve">
This defaults to the value in cell AA7. Enter manually if different.</t>
        </r>
      </text>
    </comment>
    <comment ref="AH10" authorId="0" shapeId="0" xr:uid="{00000000-0006-0000-0100-00000F000000}">
      <text>
        <r>
          <rPr>
            <b/>
            <sz val="9"/>
            <color indexed="81"/>
            <rFont val="Tahoma"/>
            <family val="2"/>
          </rPr>
          <t>Author:</t>
        </r>
        <r>
          <rPr>
            <sz val="9"/>
            <color indexed="81"/>
            <rFont val="Tahoma"/>
            <family val="2"/>
          </rPr>
          <t xml:space="preserve">
 Only one or the other of DF or LF should be derated.</t>
        </r>
      </text>
    </comment>
    <comment ref="AI10" authorId="0" shapeId="0" xr:uid="{00000000-0006-0000-0100-000010000000}">
      <text>
        <r>
          <rPr>
            <b/>
            <sz val="9"/>
            <color indexed="81"/>
            <rFont val="Tahoma"/>
            <family val="2"/>
          </rPr>
          <t>Author:</t>
        </r>
        <r>
          <rPr>
            <sz val="9"/>
            <color indexed="81"/>
            <rFont val="Tahoma"/>
            <family val="2"/>
          </rPr>
          <t xml:space="preserve">
 Only one or the other of DF or LF should be derated.</t>
        </r>
      </text>
    </comment>
    <comment ref="AT512" authorId="0" shapeId="0" xr:uid="{00000000-0006-0000-0100-000011000000}">
      <text>
        <r>
          <rPr>
            <b/>
            <sz val="9"/>
            <color indexed="81"/>
            <rFont val="Tahoma"/>
            <family val="2"/>
          </rPr>
          <t>Author:</t>
        </r>
        <r>
          <rPr>
            <sz val="9"/>
            <color indexed="81"/>
            <rFont val="Tahoma"/>
            <family val="2"/>
          </rPr>
          <t xml:space="preserve">
Quantity of 8-hour per charge units</t>
        </r>
      </text>
    </comment>
    <comment ref="AU512" authorId="0" shapeId="0" xr:uid="{00000000-0006-0000-0100-000012000000}">
      <text>
        <r>
          <rPr>
            <b/>
            <sz val="9"/>
            <color indexed="81"/>
            <rFont val="Tahoma"/>
            <family val="2"/>
          </rPr>
          <t>Author:</t>
        </r>
        <r>
          <rPr>
            <sz val="9"/>
            <color indexed="81"/>
            <rFont val="Tahoma"/>
            <family val="2"/>
          </rPr>
          <t xml:space="preserve">
kW/Charger</t>
        </r>
      </text>
    </comment>
    <comment ref="AT513" authorId="0" shapeId="0" xr:uid="{00000000-0006-0000-0100-000013000000}">
      <text>
        <r>
          <rPr>
            <b/>
            <sz val="9"/>
            <color indexed="81"/>
            <rFont val="Tahoma"/>
            <family val="2"/>
          </rPr>
          <t>Author:</t>
        </r>
        <r>
          <rPr>
            <sz val="9"/>
            <color indexed="81"/>
            <rFont val="Tahoma"/>
            <family val="2"/>
          </rPr>
          <t xml:space="preserve">
Quantity of 3-hour per charge units</t>
        </r>
      </text>
    </comment>
    <comment ref="AU513" authorId="0" shapeId="0" xr:uid="{00000000-0006-0000-0100-000014000000}">
      <text>
        <r>
          <rPr>
            <b/>
            <sz val="9"/>
            <color indexed="81"/>
            <rFont val="Tahoma"/>
            <family val="2"/>
          </rPr>
          <t>Author:</t>
        </r>
        <r>
          <rPr>
            <sz val="9"/>
            <color indexed="81"/>
            <rFont val="Tahoma"/>
            <family val="2"/>
          </rPr>
          <t xml:space="preserve">
kW/Charger</t>
        </r>
      </text>
    </comment>
    <comment ref="AN514" authorId="0" shapeId="0" xr:uid="{46699F37-4A1A-46E4-82CD-DAD4940FEB68}">
      <text>
        <r>
          <rPr>
            <b/>
            <sz val="9"/>
            <color indexed="81"/>
            <rFont val="Tahoma"/>
            <family val="2"/>
          </rPr>
          <t>Author:</t>
        </r>
        <r>
          <rPr>
            <sz val="9"/>
            <color indexed="81"/>
            <rFont val="Tahoma"/>
            <family val="2"/>
          </rPr>
          <t xml:space="preserve">
All lighting electrical consumption values from the "Lighting Upgrade Details"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W9" authorId="0" shapeId="0" xr:uid="{00000000-0006-0000-0200-000001000000}">
      <text>
        <r>
          <rPr>
            <b/>
            <sz val="9"/>
            <color indexed="81"/>
            <rFont val="Tahoma"/>
            <family val="2"/>
          </rPr>
          <t>Author:</t>
        </r>
        <r>
          <rPr>
            <sz val="9"/>
            <color indexed="81"/>
            <rFont val="Tahoma"/>
            <family val="2"/>
          </rPr>
          <t xml:space="preserve">
Default of 365 days times 24 hours per day</t>
        </r>
      </text>
    </comment>
    <comment ref="AK9" authorId="0" shapeId="0" xr:uid="{00000000-0006-0000-0200-000002000000}">
      <text>
        <r>
          <rPr>
            <b/>
            <sz val="9"/>
            <color indexed="81"/>
            <rFont val="Tahoma"/>
            <family val="2"/>
          </rPr>
          <t>Author:</t>
        </r>
        <r>
          <rPr>
            <sz val="9"/>
            <color indexed="81"/>
            <rFont val="Tahoma"/>
            <family val="2"/>
          </rPr>
          <t xml:space="preserve">
Convert from meter units to MMBTU, as needed</t>
        </r>
      </text>
    </comment>
    <comment ref="AL9" authorId="0" shapeId="0" xr:uid="{00000000-0006-0000-0200-000003000000}">
      <text>
        <r>
          <rPr>
            <b/>
            <sz val="9"/>
            <color indexed="81"/>
            <rFont val="Tahoma"/>
            <family val="2"/>
          </rPr>
          <t>Author:</t>
        </r>
        <r>
          <rPr>
            <sz val="9"/>
            <color indexed="81"/>
            <rFont val="Tahoma"/>
            <family val="2"/>
          </rPr>
          <t xml:space="preserve">
Convert from meter units to MMBTU, as needed</t>
        </r>
      </text>
    </comment>
    <comment ref="D10" authorId="0" shapeId="0" xr:uid="{00000000-0006-0000-0200-000004000000}">
      <text>
        <r>
          <rPr>
            <b/>
            <sz val="9"/>
            <color indexed="81"/>
            <rFont val="Tahoma"/>
            <family val="2"/>
          </rPr>
          <t>Author:</t>
        </r>
        <r>
          <rPr>
            <sz val="9"/>
            <color indexed="81"/>
            <rFont val="Tahoma"/>
            <family val="2"/>
          </rPr>
          <t xml:space="preserve">
Pull down menu.</t>
        </r>
      </text>
    </comment>
    <comment ref="E10" authorId="0" shapeId="0" xr:uid="{00000000-0006-0000-0200-000005000000}">
      <text>
        <r>
          <rPr>
            <b/>
            <sz val="9"/>
            <color indexed="81"/>
            <rFont val="Tahoma"/>
            <family val="2"/>
          </rPr>
          <t>Author:</t>
        </r>
        <r>
          <rPr>
            <sz val="9"/>
            <color indexed="81"/>
            <rFont val="Tahoma"/>
            <family val="2"/>
          </rPr>
          <t xml:space="preserve">
Name or Number</t>
        </r>
      </text>
    </comment>
    <comment ref="K10" authorId="0" shapeId="0" xr:uid="{00000000-0006-0000-0200-000006000000}">
      <text>
        <r>
          <rPr>
            <b/>
            <sz val="9"/>
            <color indexed="81"/>
            <rFont val="Tahoma"/>
            <family val="2"/>
          </rPr>
          <t>Author:</t>
        </r>
        <r>
          <rPr>
            <sz val="9"/>
            <color indexed="81"/>
            <rFont val="Tahoma"/>
            <family val="2"/>
          </rPr>
          <t xml:space="preserve">
This is the item actually consuming the electricity</t>
        </r>
      </text>
    </comment>
    <comment ref="R10" authorId="0" shapeId="0" xr:uid="{00000000-0006-0000-0200-000007000000}">
      <text>
        <r>
          <rPr>
            <b/>
            <sz val="9"/>
            <color indexed="81"/>
            <rFont val="Tahoma"/>
            <family val="2"/>
          </rPr>
          <t>Author:</t>
        </r>
        <r>
          <rPr>
            <sz val="9"/>
            <color indexed="81"/>
            <rFont val="Tahoma"/>
            <family val="2"/>
          </rPr>
          <t xml:space="preserve">
Estimated combustion efficiency.
Or actual data, if known.</t>
        </r>
      </text>
    </comment>
    <comment ref="X10" authorId="0" shapeId="0" xr:uid="{00000000-0006-0000-0200-000008000000}">
      <text>
        <r>
          <rPr>
            <b/>
            <sz val="9"/>
            <color indexed="81"/>
            <rFont val="Tahoma"/>
            <family val="2"/>
          </rPr>
          <t>Author:</t>
        </r>
        <r>
          <rPr>
            <sz val="9"/>
            <color indexed="81"/>
            <rFont val="Tahoma"/>
            <family val="2"/>
          </rPr>
          <t xml:space="preserve">
Typically, if you have a diversity factor &lt; 100% you will NOT also derate load factor. Only one or the other of DF or LF should be derated.</t>
        </r>
      </text>
    </comment>
    <comment ref="Y10" authorId="0" shapeId="0" xr:uid="{00000000-0006-0000-0200-000009000000}">
      <text>
        <r>
          <rPr>
            <b/>
            <sz val="9"/>
            <color indexed="81"/>
            <rFont val="Tahoma"/>
            <family val="2"/>
          </rPr>
          <t>Author:</t>
        </r>
        <r>
          <rPr>
            <sz val="9"/>
            <color indexed="81"/>
            <rFont val="Tahoma"/>
            <family val="2"/>
          </rPr>
          <t xml:space="preserve">
This defaults to the value in cell S7. Enter manually if different.</t>
        </r>
      </text>
    </comment>
    <comment ref="Z10" authorId="0" shapeId="0" xr:uid="{00000000-0006-0000-0200-00000A000000}">
      <text>
        <r>
          <rPr>
            <b/>
            <sz val="9"/>
            <color indexed="81"/>
            <rFont val="Tahoma"/>
            <family val="2"/>
          </rPr>
          <t>Author:</t>
        </r>
        <r>
          <rPr>
            <sz val="9"/>
            <color indexed="81"/>
            <rFont val="Tahoma"/>
            <family val="2"/>
          </rPr>
          <t xml:space="preserve">
 Only one or the other of DF or LF should be derated.</t>
        </r>
      </text>
    </comment>
    <comment ref="AA10" authorId="0" shapeId="0" xr:uid="{00000000-0006-0000-0200-00000B000000}">
      <text>
        <r>
          <rPr>
            <b/>
            <sz val="9"/>
            <color indexed="81"/>
            <rFont val="Tahoma"/>
            <family val="2"/>
          </rPr>
          <t>Author:</t>
        </r>
        <r>
          <rPr>
            <sz val="9"/>
            <color indexed="81"/>
            <rFont val="Tahoma"/>
            <family val="2"/>
          </rPr>
          <t xml:space="preserve">
 Only one or the other of DF or LF should be derated.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7" authorId="0" shapeId="0" xr:uid="{B877C82E-0467-4185-9F69-3C078CE6D658}">
      <text>
        <r>
          <rPr>
            <b/>
            <sz val="9"/>
            <color indexed="81"/>
            <rFont val="Tahoma"/>
            <family val="2"/>
          </rPr>
          <t>Author:</t>
        </r>
        <r>
          <rPr>
            <sz val="9"/>
            <color indexed="81"/>
            <rFont val="Tahoma"/>
            <family val="2"/>
          </rPr>
          <t xml:space="preserve">
Include potential equipment repair expenses here, as needed.</t>
        </r>
      </text>
    </comment>
    <comment ref="Y7" authorId="0" shapeId="0" xr:uid="{F866D9A4-0E31-4B7F-903A-D6387F17A5C7}">
      <text>
        <r>
          <rPr>
            <b/>
            <sz val="9"/>
            <color indexed="81"/>
            <rFont val="Tahoma"/>
            <family val="2"/>
          </rPr>
          <t>Author:</t>
        </r>
        <r>
          <rPr>
            <sz val="9"/>
            <color indexed="81"/>
            <rFont val="Tahoma"/>
            <family val="2"/>
          </rPr>
          <t xml:space="preserve">
Include potential equipment repair expenses here, as needed.</t>
        </r>
      </text>
    </comment>
    <comment ref="AA7" authorId="0" shapeId="0" xr:uid="{FF616772-42C3-4821-9BCE-36FD7F1736F6}">
      <text>
        <r>
          <rPr>
            <b/>
            <sz val="9"/>
            <color indexed="81"/>
            <rFont val="Tahoma"/>
            <family val="2"/>
          </rPr>
          <t>Author:</t>
        </r>
        <r>
          <rPr>
            <sz val="9"/>
            <color indexed="81"/>
            <rFont val="Tahoma"/>
            <family val="2"/>
          </rPr>
          <t xml:space="preserve">
Refer to non energy benefits section of this tab at columns "S" thru "V" and the table below</t>
        </r>
      </text>
    </comment>
    <comment ref="AF7" authorId="0" shapeId="0" xr:uid="{6F9D245C-E38A-4EF3-9884-27391C170C84}">
      <text>
        <r>
          <rPr>
            <b/>
            <sz val="10"/>
            <color indexed="81"/>
            <rFont val="Tahoma"/>
            <family val="2"/>
          </rPr>
          <t>Author:</t>
        </r>
        <r>
          <rPr>
            <sz val="10"/>
            <color indexed="81"/>
            <rFont val="Tahoma"/>
            <family val="2"/>
          </rPr>
          <t xml:space="preserve">
Formula is currently set up to multiply the first FIVE scores. If you add criteria 6, 7, or 8, than add these to the formula.
Also, if desired, you can make this a weighted formula, e.g. to give say, cost a 50% weighting, etc.</t>
        </r>
      </text>
    </comment>
  </commentList>
</comments>
</file>

<file path=xl/sharedStrings.xml><?xml version="1.0" encoding="utf-8"?>
<sst xmlns="http://schemas.openxmlformats.org/spreadsheetml/2006/main" count="8451" uniqueCount="1858">
  <si>
    <r>
      <t xml:space="preserve">Energy Types </t>
    </r>
    <r>
      <rPr>
        <b/>
        <u/>
        <sz val="24"/>
        <color theme="1"/>
        <rFont val="Calibri"/>
        <family val="2"/>
        <scheme val="minor"/>
      </rPr>
      <t>INTO</t>
    </r>
    <r>
      <rPr>
        <sz val="24"/>
        <color theme="1"/>
        <rFont val="Calibri"/>
        <family val="2"/>
        <scheme val="minor"/>
      </rPr>
      <t xml:space="preserve"> and </t>
    </r>
    <r>
      <rPr>
        <b/>
        <u/>
        <sz val="24"/>
        <color theme="1"/>
        <rFont val="Calibri"/>
        <family val="2"/>
        <scheme val="minor"/>
      </rPr>
      <t>OUT OF</t>
    </r>
    <r>
      <rPr>
        <sz val="24"/>
        <color theme="1"/>
        <rFont val="Calibri"/>
        <family val="2"/>
        <scheme val="minor"/>
      </rPr>
      <t xml:space="preserve"> the Site Boundaries</t>
    </r>
  </si>
  <si>
    <r>
      <t xml:space="preserve">Energy Types </t>
    </r>
    <r>
      <rPr>
        <b/>
        <u/>
        <sz val="14"/>
        <color theme="1"/>
        <rFont val="Calibri"/>
        <family val="2"/>
        <scheme val="minor"/>
      </rPr>
      <t>INTO</t>
    </r>
    <r>
      <rPr>
        <b/>
        <sz val="14"/>
        <color theme="1"/>
        <rFont val="Calibri"/>
        <family val="2"/>
        <scheme val="minor"/>
      </rPr>
      <t xml:space="preserve"> the SITE</t>
    </r>
  </si>
  <si>
    <t>Convert to Primary**</t>
  </si>
  <si>
    <t>Site Boundary</t>
  </si>
  <si>
    <t>**Convert to Primary (if required)</t>
  </si>
  <si>
    <r>
      <t xml:space="preserve">Energy Types </t>
    </r>
    <r>
      <rPr>
        <b/>
        <u/>
        <sz val="14"/>
        <color theme="1"/>
        <rFont val="Calibri"/>
        <family val="2"/>
        <scheme val="minor"/>
      </rPr>
      <t>OUT</t>
    </r>
    <r>
      <rPr>
        <b/>
        <sz val="14"/>
        <color theme="1"/>
        <rFont val="Calibri"/>
        <family val="2"/>
        <scheme val="minor"/>
      </rPr>
      <t xml:space="preserve"> of the SITE</t>
    </r>
  </si>
  <si>
    <t>Y</t>
  </si>
  <si>
    <r>
      <t>Pass Through</t>
    </r>
    <r>
      <rPr>
        <b/>
        <sz val="11"/>
        <color theme="1"/>
        <rFont val="Calibri"/>
        <family val="2"/>
        <scheme val="minor"/>
      </rPr>
      <t xml:space="preserve"> </t>
    </r>
    <r>
      <rPr>
        <sz val="11"/>
        <color theme="1"/>
        <rFont val="Calibri"/>
        <family val="2"/>
        <scheme val="minor"/>
      </rPr>
      <t>= unused input energy (e.g. fuel loaded into trucks or buses)</t>
    </r>
  </si>
  <si>
    <t>N</t>
  </si>
  <si>
    <t>Liquid Propane (LP) fuel</t>
  </si>
  <si>
    <r>
      <rPr>
        <b/>
        <sz val="14"/>
        <color theme="1"/>
        <rFont val="Calibri"/>
        <family val="2"/>
        <scheme val="minor"/>
      </rPr>
      <t>Non Energy Product</t>
    </r>
    <r>
      <rPr>
        <sz val="14"/>
        <color theme="1"/>
        <rFont val="Calibri"/>
        <family val="2"/>
        <scheme val="minor"/>
      </rPr>
      <t xml:space="preserve">, </t>
    </r>
    <r>
      <rPr>
        <sz val="11"/>
        <color theme="1"/>
        <rFont val="Calibri"/>
        <family val="2"/>
        <scheme val="minor"/>
      </rPr>
      <t>e.g. pure water, bricks, cars, paper, cloth, tires, etc.</t>
    </r>
  </si>
  <si>
    <t>Other fuels, not consumed on site</t>
  </si>
  <si>
    <t>Primary</t>
  </si>
  <si>
    <t>Energy Product</t>
  </si>
  <si>
    <t>Energy product sold must be considered as a relevant variable in the model</t>
  </si>
  <si>
    <t>Natural Gas</t>
  </si>
  <si>
    <t>Product Sold containing Energy Content, e.g. gasoline, kerosene, etc.</t>
  </si>
  <si>
    <t>Liquid Propane (LP)</t>
  </si>
  <si>
    <t>On Site Storage</t>
  </si>
  <si>
    <r>
      <t xml:space="preserve">Excess Energy </t>
    </r>
    <r>
      <rPr>
        <b/>
        <sz val="11"/>
        <color rgb="FFFF0000"/>
        <rFont val="Calibri"/>
        <family val="2"/>
        <scheme val="minor"/>
      </rPr>
      <t>greater than</t>
    </r>
    <r>
      <rPr>
        <sz val="11"/>
        <color theme="1"/>
        <rFont val="Calibri"/>
        <family val="2"/>
        <scheme val="minor"/>
      </rPr>
      <t xml:space="preserve"> the Energy from an Outside Source (by energy type)</t>
    </r>
  </si>
  <si>
    <t>Diesel (consumed on site)</t>
  </si>
  <si>
    <t>Diesel Fuel</t>
  </si>
  <si>
    <t xml:space="preserve"> Office Buildings</t>
  </si>
  <si>
    <t>Grid Delivered Electricity</t>
  </si>
  <si>
    <r>
      <t xml:space="preserve">An </t>
    </r>
    <r>
      <rPr>
        <b/>
        <sz val="11"/>
        <color theme="1"/>
        <rFont val="Calibri"/>
        <family val="2"/>
        <scheme val="minor"/>
      </rPr>
      <t>Energy Product</t>
    </r>
    <r>
      <rPr>
        <sz val="11"/>
        <color theme="1"/>
        <rFont val="Calibri"/>
        <family val="2"/>
        <scheme val="minor"/>
      </rPr>
      <t xml:space="preserve"> is converted to primary energy using the same multiplier as the energy type that was generated or extracted on-site within the facility boundaries</t>
    </r>
  </si>
  <si>
    <t>Coal</t>
  </si>
  <si>
    <t>Fuel Oil</t>
  </si>
  <si>
    <t>Data Centers</t>
  </si>
  <si>
    <t>HVAC Loads</t>
  </si>
  <si>
    <t>Steam</t>
  </si>
  <si>
    <t>Other Fuel Oils</t>
  </si>
  <si>
    <t>LP Gas</t>
  </si>
  <si>
    <t>Server Load</t>
  </si>
  <si>
    <t>Lighting Loads</t>
  </si>
  <si>
    <t>Production Buildings/Warehouses</t>
  </si>
  <si>
    <t>Hot Water</t>
  </si>
  <si>
    <t>Derived</t>
  </si>
  <si>
    <t>Other</t>
  </si>
  <si>
    <t>Cooling Load</t>
  </si>
  <si>
    <t>Forming, Fabrication, Assembly, Machining</t>
  </si>
  <si>
    <t>Chilled Water</t>
  </si>
  <si>
    <t>Welding, Heat Treatment, Washing, Drying</t>
  </si>
  <si>
    <t>Compressed Air</t>
  </si>
  <si>
    <t>Coating, Painting, Curing, Lighting, Testing</t>
  </si>
  <si>
    <t>Energy Export</t>
  </si>
  <si>
    <t>Ventilation, Air Handlers, Exhaust</t>
  </si>
  <si>
    <r>
      <t xml:space="preserve">Energy SENT to the Outside </t>
    </r>
    <r>
      <rPr>
        <b/>
        <sz val="11"/>
        <color rgb="FFFF0000"/>
        <rFont val="Calibri"/>
        <family val="2"/>
        <scheme val="minor"/>
      </rPr>
      <t>less than or equal</t>
    </r>
    <r>
      <rPr>
        <sz val="11"/>
        <color theme="1"/>
        <rFont val="Calibri"/>
        <family val="2"/>
        <scheme val="minor"/>
      </rPr>
      <t xml:space="preserve"> to the Energy from an Outside source (by energy type)</t>
    </r>
  </si>
  <si>
    <t>Process Water  &amp; Make-up Air Heating</t>
  </si>
  <si>
    <r>
      <t xml:space="preserve">An </t>
    </r>
    <r>
      <rPr>
        <b/>
        <sz val="11"/>
        <color theme="1"/>
        <rFont val="Calibri"/>
        <family val="2"/>
        <scheme val="minor"/>
      </rPr>
      <t>Energy Export</t>
    </r>
    <r>
      <rPr>
        <sz val="11"/>
        <color theme="1"/>
        <rFont val="Calibri"/>
        <family val="2"/>
        <scheme val="minor"/>
      </rPr>
      <t xml:space="preserve"> is converted to primary energy using the same multiplier as the energy type that was delivered to the facility boundaries</t>
    </r>
  </si>
  <si>
    <t>Other Buildings</t>
  </si>
  <si>
    <t>Facility Buildings/Rooms</t>
  </si>
  <si>
    <t>Solar Electricity</t>
  </si>
  <si>
    <t>Training Facilities</t>
  </si>
  <si>
    <t>Thermal Storage</t>
  </si>
  <si>
    <t>Air Compressors, Boilers, Pumping</t>
  </si>
  <si>
    <t>Wind Electricity</t>
  </si>
  <si>
    <t>Dining Facilities</t>
  </si>
  <si>
    <t>Chilled water</t>
  </si>
  <si>
    <t>Chillers &amp; Cooling Towers</t>
  </si>
  <si>
    <t>Geothermal Electricity</t>
  </si>
  <si>
    <t>Labs, etc.</t>
  </si>
  <si>
    <t>HVAC, Wastewater Treatment, etc.</t>
  </si>
  <si>
    <t>Solar/Geo Steam</t>
  </si>
  <si>
    <t>Still Gas</t>
  </si>
  <si>
    <t>Primary Energy Sources from</t>
  </si>
  <si>
    <t>On Site Generation</t>
  </si>
  <si>
    <t xml:space="preserve">Various Biomass </t>
  </si>
  <si>
    <r>
      <rPr>
        <u/>
        <sz val="11"/>
        <color theme="1"/>
        <rFont val="Calibri"/>
        <family val="2"/>
        <scheme val="minor"/>
      </rPr>
      <t>INSIDE</t>
    </r>
    <r>
      <rPr>
        <sz val="11"/>
        <color theme="1"/>
        <rFont val="Calibri"/>
        <family val="2"/>
        <scheme val="minor"/>
      </rPr>
      <t xml:space="preserve"> the boundaries (extraction)</t>
    </r>
  </si>
  <si>
    <t>Solar Panels</t>
  </si>
  <si>
    <t>CHP Residuals (electricity,  steam)</t>
  </si>
  <si>
    <t>Agriculture Residue (Hog Waste)</t>
  </si>
  <si>
    <t>Oil well</t>
  </si>
  <si>
    <t>Do not drive energy consumption</t>
  </si>
  <si>
    <t>Herbaceous Crops</t>
  </si>
  <si>
    <t>Natural gas well</t>
  </si>
  <si>
    <t>Not included in the energy model</t>
  </si>
  <si>
    <t>Woody Crops</t>
  </si>
  <si>
    <t>Biogas from onsite landfill</t>
  </si>
  <si>
    <t>Combined Heat &amp; Power</t>
  </si>
  <si>
    <t>Backup Generators</t>
  </si>
  <si>
    <t>Forest Residues</t>
  </si>
  <si>
    <r>
      <t xml:space="preserve">Renewables on site: </t>
    </r>
    <r>
      <rPr>
        <b/>
        <u/>
        <sz val="11"/>
        <color theme="1"/>
        <rFont val="Calibri"/>
        <family val="2"/>
        <scheme val="minor"/>
      </rPr>
      <t>solar</t>
    </r>
    <r>
      <rPr>
        <b/>
        <sz val="11"/>
        <color theme="1"/>
        <rFont val="Calibri"/>
        <family val="2"/>
        <scheme val="minor"/>
      </rPr>
      <t>, wind, etc.</t>
    </r>
  </si>
  <si>
    <t>Electricity</t>
  </si>
  <si>
    <t>Diesel</t>
  </si>
  <si>
    <t>CHP specifically to sell (electricity, steam)</t>
  </si>
  <si>
    <t>Wastewater Sludge</t>
  </si>
  <si>
    <t>Others</t>
  </si>
  <si>
    <t>Considered a generation product</t>
  </si>
  <si>
    <t>Food Scraps (RCI*)</t>
  </si>
  <si>
    <t>Must be considered for the energy model</t>
  </si>
  <si>
    <t>Other Biogas/Biomass/Biofuel</t>
  </si>
  <si>
    <t>**Use  Conversion Factors and Multipliers, if using primary energy</t>
  </si>
  <si>
    <t>These items must be included in the energy accounting:</t>
  </si>
  <si>
    <t xml:space="preserve"> *RCI = Restaurants, Cafeterias and Institutions</t>
  </si>
  <si>
    <t>Energy producing processes</t>
  </si>
  <si>
    <t>Exothermic reactions, etc.</t>
  </si>
  <si>
    <t>3C</t>
  </si>
  <si>
    <t>COLUMN COLOR KEY</t>
  </si>
  <si>
    <t>I = Intermittent, on and off, as needed, but not a continuous load, when ON, runs at full load</t>
  </si>
  <si>
    <t>Pull Down Menu DATA</t>
  </si>
  <si>
    <t>Sites ("D")</t>
  </si>
  <si>
    <t>Electrical Phases ("T")</t>
  </si>
  <si>
    <t>Load Type</t>
  </si>
  <si>
    <t>Seasonal Load</t>
  </si>
  <si>
    <t>Electrical Equipment Master</t>
  </si>
  <si>
    <t>DATA YOU CAN GET</t>
  </si>
  <si>
    <t>NEW for 2022</t>
  </si>
  <si>
    <t>Percent Factor</t>
  </si>
  <si>
    <t>L = ON and runs continuously at FULL load  during operations of associated manufacturing line</t>
  </si>
  <si>
    <t>kW/HP conversion factor</t>
  </si>
  <si>
    <t>B</t>
  </si>
  <si>
    <t>YES</t>
  </si>
  <si>
    <t>ALL electrical on ONE</t>
  </si>
  <si>
    <t>DECISION NEEDED, then INPUT Values</t>
  </si>
  <si>
    <t>Winter Hours</t>
  </si>
  <si>
    <t>V = Variable loads,  equipment is ON, but ramps up and down depending on plant needs (air compressors, chillers, motors with VFDs)</t>
  </si>
  <si>
    <t>Power Factor</t>
  </si>
  <si>
    <t>I</t>
  </si>
  <si>
    <t>NO</t>
  </si>
  <si>
    <t>CALCULATED with FORMULA</t>
  </si>
  <si>
    <t>Summer Hours</t>
  </si>
  <si>
    <t>B = ON all the time (i.e. base load, servers, lighting, offices, fans, agitators etc.)</t>
  </si>
  <si>
    <t>Rarely Used</t>
  </si>
  <si>
    <t>Derating for connected amp rating</t>
  </si>
  <si>
    <t>L</t>
  </si>
  <si>
    <t xml:space="preserve">Total  Estimated ANNUAL kWh from this table:  </t>
  </si>
  <si>
    <t>kWh</t>
  </si>
  <si>
    <t>DF = Diversity Factor, to account for things like oven heating, hot water heating heat trace tape, etc. (electric resistance heating)</t>
  </si>
  <si>
    <t>Must enter value or equation here if Column "T" = 1</t>
  </si>
  <si>
    <t>V</t>
  </si>
  <si>
    <t xml:space="preserve">Total actual ANNUAL kWh from Duke Energy invoices:  </t>
  </si>
  <si>
    <t>Must enter a ZERO for HP if a non-motor load</t>
  </si>
  <si>
    <t>Full Year</t>
  </si>
  <si>
    <t>Plant Hours</t>
  </si>
  <si>
    <t>OF</t>
  </si>
  <si>
    <t xml:space="preserve"> </t>
  </si>
  <si>
    <t>BTUs/kWh</t>
  </si>
  <si>
    <t>For NON-Motor Loads</t>
  </si>
  <si>
    <t xml:space="preserve">For the year:  </t>
  </si>
  <si>
    <t>If HP = ZERO, then need these three</t>
  </si>
  <si>
    <t>PLANT Operational Factor:</t>
  </si>
  <si>
    <t>OF = Operational Factor is for the plant. What percentage of the total time is the plant operating.</t>
  </si>
  <si>
    <t>Equation is</t>
  </si>
  <si>
    <t>February</t>
  </si>
  <si>
    <t>August</t>
  </si>
  <si>
    <t xml:space="preserve">DELTA:  </t>
  </si>
  <si>
    <t>NEED</t>
  </si>
  <si>
    <r>
      <rPr>
        <b/>
        <sz val="14"/>
        <color rgb="FFFF00FF"/>
        <rFont val="Calibri"/>
        <family val="2"/>
        <scheme val="minor"/>
      </rPr>
      <t>SF</t>
    </r>
    <r>
      <rPr>
        <b/>
        <sz val="12"/>
        <color theme="1"/>
        <rFont val="Calibri"/>
        <family val="2"/>
        <scheme val="minor"/>
      </rPr>
      <t xml:space="preserve"> = Seasonal Factor should be YES for loads impacted by the season and weather conditions such as HVAC, boilers, and chillers, etc.</t>
    </r>
  </si>
  <si>
    <t>CONVERT</t>
  </si>
  <si>
    <t>SITUATIONAL</t>
  </si>
  <si>
    <t>Winter</t>
  </si>
  <si>
    <t>Summer</t>
  </si>
  <si>
    <t>For Sort</t>
  </si>
  <si>
    <t>SORT 1</t>
  </si>
  <si>
    <t>SORT 2</t>
  </si>
  <si>
    <t>SORT 3</t>
  </si>
  <si>
    <t>SORT 4</t>
  </si>
  <si>
    <t>Nameplate Data from Equipment or Info from Electrical One Line Diagram (record all available)</t>
  </si>
  <si>
    <t>OPS</t>
  </si>
  <si>
    <t>SF</t>
  </si>
  <si>
    <t>TOTAL HRS</t>
  </si>
  <si>
    <t>PLANT</t>
  </si>
  <si>
    <t>Supplemental Electrical Information</t>
  </si>
  <si>
    <t>Sub-Metering Info: Measured</t>
  </si>
  <si>
    <t>Measured</t>
  </si>
  <si>
    <t>Calculated</t>
  </si>
  <si>
    <t>#1</t>
  </si>
  <si>
    <t>#2</t>
  </si>
  <si>
    <t>#3</t>
  </si>
  <si>
    <t>SITE</t>
  </si>
  <si>
    <t>BUILDING</t>
  </si>
  <si>
    <t>DEPT.</t>
  </si>
  <si>
    <t>GROUP</t>
  </si>
  <si>
    <t>SYSTEM</t>
  </si>
  <si>
    <t>AREA</t>
  </si>
  <si>
    <t>LOCATION</t>
  </si>
  <si>
    <t>EQUIPMENT</t>
  </si>
  <si>
    <t>EQUIPMENT 1</t>
  </si>
  <si>
    <t>EQUIPMENT 2</t>
  </si>
  <si>
    <t>ASSET #</t>
  </si>
  <si>
    <t>DESCRIPTION</t>
  </si>
  <si>
    <t>QTY</t>
  </si>
  <si>
    <t>HP</t>
  </si>
  <si>
    <r>
      <t>M</t>
    </r>
    <r>
      <rPr>
        <b/>
        <vertAlign val="subscript"/>
        <sz val="12"/>
        <color theme="1"/>
        <rFont val="Calibri"/>
        <family val="2"/>
      </rPr>
      <t>EFF</t>
    </r>
  </si>
  <si>
    <t>RLA</t>
  </si>
  <si>
    <t>FLA</t>
  </si>
  <si>
    <t>PHASES</t>
  </si>
  <si>
    <t>VOLTAGE</t>
  </si>
  <si>
    <t>P. AMPS</t>
  </si>
  <si>
    <t>SUB #</t>
  </si>
  <si>
    <t>DIST #</t>
  </si>
  <si>
    <t>MCC #</t>
  </si>
  <si>
    <t>BUSS DUCT #</t>
  </si>
  <si>
    <t>PANEL #</t>
  </si>
  <si>
    <t>CODE</t>
  </si>
  <si>
    <t>YES or NO</t>
  </si>
  <si>
    <t>FULL YEAR</t>
  </si>
  <si>
    <t>DF</t>
  </si>
  <si>
    <t>LF</t>
  </si>
  <si>
    <t>∑HRS</t>
  </si>
  <si>
    <t>kW</t>
  </si>
  <si>
    <t>MMBTU</t>
  </si>
  <si>
    <t>Any Additional Comments/Notes</t>
  </si>
  <si>
    <t>HVAC/Chiller (TONS/Unit)</t>
  </si>
  <si>
    <t>Lamps/Fixture</t>
  </si>
  <si>
    <t>Watts/Lamp</t>
  </si>
  <si>
    <t>Base kW</t>
  </si>
  <si>
    <t>Metered</t>
  </si>
  <si>
    <t>Recorded By</t>
  </si>
  <si>
    <t>Verification</t>
  </si>
  <si>
    <t>Calibration</t>
  </si>
  <si>
    <t>FACILITY</t>
  </si>
  <si>
    <t>CHILLER</t>
  </si>
  <si>
    <t xml:space="preserve">Chillers-Site Wide </t>
  </si>
  <si>
    <t>Facility Room - BLDG 200</t>
  </si>
  <si>
    <t>Chiller-3</t>
  </si>
  <si>
    <t>MOTOR</t>
  </si>
  <si>
    <t>WATER-COOLED</t>
  </si>
  <si>
    <t>Trane CVH1280 Centrifugal Chiller</t>
  </si>
  <si>
    <t>Chiller-4</t>
  </si>
  <si>
    <t>HVAC</t>
  </si>
  <si>
    <t>Multiple</t>
  </si>
  <si>
    <t>200, 300, 400</t>
  </si>
  <si>
    <t>RTU-18 - RTU-39</t>
  </si>
  <si>
    <t>PACKAGE UNIT</t>
  </si>
  <si>
    <t>Trane PC-37</t>
  </si>
  <si>
    <t>VEHICLE</t>
  </si>
  <si>
    <t>CHARGING</t>
  </si>
  <si>
    <t>Plant Wide</t>
  </si>
  <si>
    <t>Lifts and Utility Vehicles</t>
  </si>
  <si>
    <t>FORKLIFT</t>
  </si>
  <si>
    <t>ELECTRIC</t>
  </si>
  <si>
    <r>
      <t xml:space="preserve">Electric Vehicle with an </t>
    </r>
    <r>
      <rPr>
        <b/>
        <sz val="11"/>
        <color rgb="FFFF0000"/>
        <rFont val="Calibri"/>
        <family val="2"/>
        <scheme val="minor"/>
      </rPr>
      <t>EIGHT</t>
    </r>
    <r>
      <rPr>
        <sz val="11"/>
        <color theme="1"/>
        <rFont val="Calibri"/>
        <family val="2"/>
        <scheme val="minor"/>
      </rPr>
      <t>-hour charge time</t>
    </r>
  </si>
  <si>
    <t>300A</t>
  </si>
  <si>
    <t>RTU-1 - 13, 15-17</t>
  </si>
  <si>
    <t>RTU-51 - RTU-63</t>
  </si>
  <si>
    <t>Chiller-1</t>
  </si>
  <si>
    <t>Smardt WB400.3UG12 Centrifugal Chiller</t>
  </si>
  <si>
    <t>Chiller-2</t>
  </si>
  <si>
    <t>COMP AIR</t>
  </si>
  <si>
    <t>Compressed Air-Site Wide</t>
  </si>
  <si>
    <t>Facility Room</t>
  </si>
  <si>
    <t>Compressor #1</t>
  </si>
  <si>
    <t>AIR COMPRESSOR</t>
  </si>
  <si>
    <t>Ingersoll-Rand Centac 1CV Centrifugal</t>
  </si>
  <si>
    <t>Cab Paint</t>
  </si>
  <si>
    <t>400B</t>
  </si>
  <si>
    <t>RTU-44- RTU-49</t>
  </si>
  <si>
    <t>PUMPING</t>
  </si>
  <si>
    <t>Facility Pumping-Site Wide</t>
  </si>
  <si>
    <t>Tertiary CW</t>
  </si>
  <si>
    <t>P-20</t>
  </si>
  <si>
    <t>PUMP</t>
  </si>
  <si>
    <t>B&amp;G VSC 10X10X13L</t>
  </si>
  <si>
    <t>P-21</t>
  </si>
  <si>
    <t>P-31</t>
  </si>
  <si>
    <t>LIGHTING</t>
  </si>
  <si>
    <t>Offline</t>
  </si>
  <si>
    <t>LED Fixtures</t>
  </si>
  <si>
    <t>LIGHT</t>
  </si>
  <si>
    <t>LED</t>
  </si>
  <si>
    <t>See "NEW LED Lights" tab</t>
  </si>
  <si>
    <t>Tertiary CHW</t>
  </si>
  <si>
    <t>P-18</t>
  </si>
  <si>
    <t>B&amp;G VSC 10X10X13</t>
  </si>
  <si>
    <t>P-19</t>
  </si>
  <si>
    <t>RTU-40 - RTU-43</t>
  </si>
  <si>
    <t>B400</t>
  </si>
  <si>
    <t>Paint Mix Room</t>
  </si>
  <si>
    <t>Heating/Cooling Conditioner</t>
  </si>
  <si>
    <t>Trane HVAC</t>
  </si>
  <si>
    <t>Condenser Water</t>
  </si>
  <si>
    <t>P-11</t>
  </si>
  <si>
    <t>B&amp;G VSCS 12X14X12 -3/4</t>
  </si>
  <si>
    <t>P-12</t>
  </si>
  <si>
    <t>P-13</t>
  </si>
  <si>
    <t>P-29</t>
  </si>
  <si>
    <t>B&amp;G VSCS 12X14X12 -3/4L</t>
  </si>
  <si>
    <t>B200</t>
  </si>
  <si>
    <t>Exist. CHW Tertiary</t>
  </si>
  <si>
    <t>P-1</t>
  </si>
  <si>
    <t>Weinman 6L1</t>
  </si>
  <si>
    <t>P-3</t>
  </si>
  <si>
    <t>Compressor #4</t>
  </si>
  <si>
    <t>IR Model: RS160i-A125</t>
  </si>
  <si>
    <t>Compressor #9</t>
  </si>
  <si>
    <t>Existing Cond. W.</t>
  </si>
  <si>
    <t>P-2</t>
  </si>
  <si>
    <t>Weinman 10L3</t>
  </si>
  <si>
    <t>P-4</t>
  </si>
  <si>
    <t>PRODUCTION</t>
  </si>
  <si>
    <t>PAINT</t>
  </si>
  <si>
    <t>Hood Paint Spray Booth</t>
  </si>
  <si>
    <t>Base Coat ASH</t>
  </si>
  <si>
    <t>Supply Fan</t>
  </si>
  <si>
    <t>FAN</t>
  </si>
  <si>
    <t>Hood Clear Coat Booth</t>
  </si>
  <si>
    <t xml:space="preserve">Clear Coat Air House </t>
  </si>
  <si>
    <t>Front Office</t>
  </si>
  <si>
    <t>Air-Cooled Chiller</t>
  </si>
  <si>
    <t>AIR-COOLED</t>
  </si>
  <si>
    <t>Trane CGAM</t>
  </si>
  <si>
    <t>Tertiary HW</t>
  </si>
  <si>
    <t>P-27</t>
  </si>
  <si>
    <t>B&amp;G 1510 6G</t>
  </si>
  <si>
    <t>400 Bld. HW Tertiary</t>
  </si>
  <si>
    <t>P-33</t>
  </si>
  <si>
    <t>Booth #7 &amp; Tack-Off</t>
  </si>
  <si>
    <t>ASH #8</t>
  </si>
  <si>
    <t>Booth #3 Cut-In</t>
  </si>
  <si>
    <t>ASH #9</t>
  </si>
  <si>
    <t>Supply Fan # 2</t>
  </si>
  <si>
    <t>Supply Fan #1</t>
  </si>
  <si>
    <t>Compressor #16</t>
  </si>
  <si>
    <t>Ingersoll-Rand 100 HP Fixed Speed</t>
  </si>
  <si>
    <t>Supply Primer Booth</t>
  </si>
  <si>
    <t>ASH #5B</t>
  </si>
  <si>
    <t>#1, #2, &amp; #3 Booth</t>
  </si>
  <si>
    <t>ASH #1</t>
  </si>
  <si>
    <t>Booth #6</t>
  </si>
  <si>
    <t>ASH #6</t>
  </si>
  <si>
    <t>Primer Sand Booth</t>
  </si>
  <si>
    <t>ASH #5A</t>
  </si>
  <si>
    <t>#1, #2, &amp; #3 Tack-Off</t>
  </si>
  <si>
    <t>ASH #3</t>
  </si>
  <si>
    <t>#4 &amp; #5 Tack-Off</t>
  </si>
  <si>
    <t>ASH #4</t>
  </si>
  <si>
    <t xml:space="preserve"> Booth 4/5 &amp; Flash-Off</t>
  </si>
  <si>
    <t>ASH #2</t>
  </si>
  <si>
    <t>Supply Fan # 3</t>
  </si>
  <si>
    <t>Supply Fan # 4</t>
  </si>
  <si>
    <t>Supply Fan # 5</t>
  </si>
  <si>
    <t>Compressor #10</t>
  </si>
  <si>
    <t>Ingersoll-Rand 200 HP Fixed Speed</t>
  </si>
  <si>
    <t>Compressor #5</t>
  </si>
  <si>
    <t>COOLING TOWER</t>
  </si>
  <si>
    <t>Evaporative Cooling Towers</t>
  </si>
  <si>
    <t>Outside</t>
  </si>
  <si>
    <t>CT-3</t>
  </si>
  <si>
    <t>Marley NC-8032 Cooling Tower</t>
  </si>
  <si>
    <t>CT-4</t>
  </si>
  <si>
    <t>CT-5</t>
  </si>
  <si>
    <t>CT-6</t>
  </si>
  <si>
    <t>CHW Primary</t>
  </si>
  <si>
    <t>P-10</t>
  </si>
  <si>
    <t>B&amp;G VSCS 12X14X12 -1/2</t>
  </si>
  <si>
    <t>Secondary CHW</t>
  </si>
  <si>
    <t>P-14</t>
  </si>
  <si>
    <t>P-15</t>
  </si>
  <si>
    <t>P-16</t>
  </si>
  <si>
    <t>P-17</t>
  </si>
  <si>
    <t>P-28</t>
  </si>
  <si>
    <t>P-30</t>
  </si>
  <si>
    <t>Exist. HW Tertiary</t>
  </si>
  <si>
    <t>P-5</t>
  </si>
  <si>
    <t>Weinman 3GB</t>
  </si>
  <si>
    <t>P-8</t>
  </si>
  <si>
    <t>P-9</t>
  </si>
  <si>
    <t>Reprocess Booth No. 1</t>
  </si>
  <si>
    <t>Booth No. 1</t>
  </si>
  <si>
    <t>Combustion Blower</t>
  </si>
  <si>
    <t>COMB BLOWER</t>
  </si>
  <si>
    <t>#6 Tack &amp; Flash-Off</t>
  </si>
  <si>
    <t>ASH #7</t>
  </si>
  <si>
    <t>Prep Booth Manual Cut-In (D202LOS)</t>
  </si>
  <si>
    <t>Exhaust Fan</t>
  </si>
  <si>
    <t>Chassis Black-Out</t>
  </si>
  <si>
    <t>ASH # 2</t>
  </si>
  <si>
    <t>Chassis Black-Out Oven</t>
  </si>
  <si>
    <t>Oven (Line B)</t>
  </si>
  <si>
    <r>
      <t xml:space="preserve">Electric Vehicle with an </t>
    </r>
    <r>
      <rPr>
        <b/>
        <sz val="11"/>
        <color rgb="FFFF0000"/>
        <rFont val="Calibri"/>
        <family val="2"/>
        <scheme val="minor"/>
      </rPr>
      <t>THREE-</t>
    </r>
    <r>
      <rPr>
        <sz val="11"/>
        <color theme="1"/>
        <rFont val="Calibri"/>
        <family val="2"/>
        <scheme val="minor"/>
      </rPr>
      <t>hour charge time</t>
    </r>
  </si>
  <si>
    <t>CT-1</t>
  </si>
  <si>
    <t>SPX (Marley) NC8405TAN Cooling Tower</t>
  </si>
  <si>
    <t>CT-2</t>
  </si>
  <si>
    <t>P-6</t>
  </si>
  <si>
    <t>P-7</t>
  </si>
  <si>
    <t>Main Bldg. HW Tertiary</t>
  </si>
  <si>
    <t>P-32</t>
  </si>
  <si>
    <t>B&amp;G 1510 3G</t>
  </si>
  <si>
    <t>300A Wash Area</t>
  </si>
  <si>
    <t>RTU-A</t>
  </si>
  <si>
    <t>Trane P23N</t>
  </si>
  <si>
    <t>300A Electric Room</t>
  </si>
  <si>
    <t>RTU-B</t>
  </si>
  <si>
    <t>600A Offices</t>
  </si>
  <si>
    <t>RTU-K</t>
  </si>
  <si>
    <t>Trane PCC-37</t>
  </si>
  <si>
    <t>Reprocess Booth No. 5</t>
  </si>
  <si>
    <t>Booth No. 5</t>
  </si>
  <si>
    <t>Reprocess Booth No. 6</t>
  </si>
  <si>
    <t>Booth No. 6</t>
  </si>
  <si>
    <t>Hood Dry-Off Oven</t>
  </si>
  <si>
    <t>Dry-Off Oven (D122LOS)</t>
  </si>
  <si>
    <t>Recirculation Fan</t>
  </si>
  <si>
    <t>Hood Paint Oven</t>
  </si>
  <si>
    <t>Hood Oven Heater Box Zone #1</t>
  </si>
  <si>
    <t>Emission Point HP-E13</t>
  </si>
  <si>
    <t>Hood Oven Heater Box Zone #2</t>
  </si>
  <si>
    <t>Emission Point HP-E11</t>
  </si>
  <si>
    <t>Recirculation Cooling Tunnel</t>
  </si>
  <si>
    <t>Emission Point HP-E10</t>
  </si>
  <si>
    <t>Top Coat Oven</t>
  </si>
  <si>
    <t>Infrared Zone #1</t>
  </si>
  <si>
    <t>IR Oven</t>
  </si>
  <si>
    <t>OVEN</t>
  </si>
  <si>
    <t>IR</t>
  </si>
  <si>
    <t>Electric Infrared Heating Oven</t>
  </si>
  <si>
    <t>Infrared Zone #2</t>
  </si>
  <si>
    <t>Infrared Zone #3</t>
  </si>
  <si>
    <t>Emission Point EP34-1</t>
  </si>
  <si>
    <t>Base Coat Flash-Off (D214LOS)</t>
  </si>
  <si>
    <t>Primer Spray Booth</t>
  </si>
  <si>
    <t>Primer Paint Booth</t>
  </si>
  <si>
    <t>Emission Point EP4-1</t>
  </si>
  <si>
    <t>Emission Point EP4-2</t>
  </si>
  <si>
    <t>Emission Point EP4-3</t>
  </si>
  <si>
    <t>Emission Point EP4-4</t>
  </si>
  <si>
    <t>Color Booth No. 1</t>
  </si>
  <si>
    <t>Emission Point EP7-1</t>
  </si>
  <si>
    <t>Emission Point EP7-2</t>
  </si>
  <si>
    <t>Emission Point EP7-3</t>
  </si>
  <si>
    <t>Emission Point EP7-4</t>
  </si>
  <si>
    <t>Color Booth No. 2</t>
  </si>
  <si>
    <t>Booth No. 2</t>
  </si>
  <si>
    <t>Emission Point EP8-1</t>
  </si>
  <si>
    <t>Emission Point EP8-2</t>
  </si>
  <si>
    <t>Emission Point EP8-3</t>
  </si>
  <si>
    <t>Emission Point EP8-4</t>
  </si>
  <si>
    <t>Color Booth No. 3</t>
  </si>
  <si>
    <t>Booth No. 3 Base Coat</t>
  </si>
  <si>
    <t>Emission Point EP9-1</t>
  </si>
  <si>
    <t>Emission Point EP9-2</t>
  </si>
  <si>
    <t>Booth No. 3 Clear Coat</t>
  </si>
  <si>
    <t>Emission Point EP9-3</t>
  </si>
  <si>
    <t>Emission Point EP9-4</t>
  </si>
  <si>
    <t>Color Booth No. 4</t>
  </si>
  <si>
    <t>Booth No. 4</t>
  </si>
  <si>
    <t>Emission Point EP10-1</t>
  </si>
  <si>
    <t>Emission Point EP10-2</t>
  </si>
  <si>
    <t>Emission Point EP10-3</t>
  </si>
  <si>
    <t>Emission Point EP10-4</t>
  </si>
  <si>
    <t>Color Booth No. 5</t>
  </si>
  <si>
    <t>Emission Point EP11-1</t>
  </si>
  <si>
    <t>Emission Point EP11-2</t>
  </si>
  <si>
    <t>Emission Point EP11-3</t>
  </si>
  <si>
    <t>Emission Point EP11-4</t>
  </si>
  <si>
    <t>Pretreatment</t>
  </si>
  <si>
    <t>Zinc Phosphate Stage No. 4</t>
  </si>
  <si>
    <t>Pump Motor</t>
  </si>
  <si>
    <t>Hot Water Recirculating Pump</t>
  </si>
  <si>
    <t>Pump motor in Boiler Room (PNL D7.5A)</t>
  </si>
  <si>
    <t>Cooling Tunnel (D134LOS)</t>
  </si>
  <si>
    <t>Chassis Wash Booth</t>
  </si>
  <si>
    <t>Wash Booth (Line A)</t>
  </si>
  <si>
    <t/>
  </si>
  <si>
    <t>Chassis Dry-Off Booth</t>
  </si>
  <si>
    <t>Dry-Off Booth (Line A)</t>
  </si>
  <si>
    <t>Wash Booth (Line B)</t>
  </si>
  <si>
    <t>Dry-Off Booth (Line B)</t>
  </si>
  <si>
    <t>Hood Paint Booth #1</t>
  </si>
  <si>
    <t>Booth #1 Air Supply House #1</t>
  </si>
  <si>
    <t>Hood Paint Booth #2</t>
  </si>
  <si>
    <t>Booth #1 Air Supply House #2</t>
  </si>
  <si>
    <t>Hood Paint Tennessee</t>
  </si>
  <si>
    <t>Tennessee Booth Air House - North</t>
  </si>
  <si>
    <t>Tennessee Booth Air House - South</t>
  </si>
  <si>
    <t>Primary HW</t>
  </si>
  <si>
    <t>P-23</t>
  </si>
  <si>
    <t>B&amp;G 1510 6E</t>
  </si>
  <si>
    <t>Compressor #19</t>
  </si>
  <si>
    <t>Ingersoll-Rand 100 HP VSD</t>
  </si>
  <si>
    <t>300D Dining</t>
  </si>
  <si>
    <t>RTU-E</t>
  </si>
  <si>
    <t>600A PMIA</t>
  </si>
  <si>
    <t>RTU-J</t>
  </si>
  <si>
    <t>Trane PCC-18</t>
  </si>
  <si>
    <t>PDI</t>
  </si>
  <si>
    <t>Reprocess Booth No. 2</t>
  </si>
  <si>
    <t>Air Dryer</t>
  </si>
  <si>
    <t>AIR DRYER</t>
  </si>
  <si>
    <t>Ingersoll-Rand 2,400 Scfm NVC2400A Thermal Mass Dryer (for Compressor #4 &amp; 5)</t>
  </si>
  <si>
    <t>Hood Prep Booth</t>
  </si>
  <si>
    <t>Air Supply House</t>
  </si>
  <si>
    <t>Ingersoll-Rand 2,000 Scfm NVC2000A Thermal Mass Dryer (for Compressor #9 &amp; #10)</t>
  </si>
  <si>
    <t>600B</t>
  </si>
  <si>
    <t>RTU-50</t>
  </si>
  <si>
    <t>Trane PCC-17</t>
  </si>
  <si>
    <t>Reprocess Booth No. 4</t>
  </si>
  <si>
    <t>City Water Rinse Stage No. 2</t>
  </si>
  <si>
    <t>Training</t>
  </si>
  <si>
    <t>Exhaust Ventilation No. 1</t>
  </si>
  <si>
    <t>Exhaust Ventilation No. 2</t>
  </si>
  <si>
    <t>Emission Point BO-EF1</t>
  </si>
  <si>
    <t>Emission Point BO-EF2</t>
  </si>
  <si>
    <t>Tack-Off Booth (D206LOS)</t>
  </si>
  <si>
    <t>Plastic</t>
  </si>
  <si>
    <t>Emission Point EP25-1</t>
  </si>
  <si>
    <t>Emission Point EP25-2</t>
  </si>
  <si>
    <t>Emission Point EP25-3</t>
  </si>
  <si>
    <t>Emission Point EP25-4</t>
  </si>
  <si>
    <t>Booth No. 7</t>
  </si>
  <si>
    <t>Emission Point EP26-1</t>
  </si>
  <si>
    <t>Emission Point EP26-2</t>
  </si>
  <si>
    <t>Emission Point EP26-3</t>
  </si>
  <si>
    <t>Emission Point EP26-4</t>
  </si>
  <si>
    <t>Plastics Parts Booth</t>
  </si>
  <si>
    <t>Plastics Parts Booth Exhaust</t>
  </si>
  <si>
    <t>Exhaust Fan # 2</t>
  </si>
  <si>
    <t>Paint Booth (Line A) Exhaust</t>
  </si>
  <si>
    <t>Emission Point EP1-2</t>
  </si>
  <si>
    <t>Paint Booth (Line B) Exhaust</t>
  </si>
  <si>
    <t>Emission Point EP2-2</t>
  </si>
  <si>
    <t>Exhaust Fan # 3</t>
  </si>
  <si>
    <t>Emission Point EP1-3</t>
  </si>
  <si>
    <t>Emission Point EP2-3</t>
  </si>
  <si>
    <t>Exhaust Fan # 4</t>
  </si>
  <si>
    <t>Emission Point EP1-4</t>
  </si>
  <si>
    <t>Emission Point EP2-4</t>
  </si>
  <si>
    <t>Exhaust Fan # 5</t>
  </si>
  <si>
    <t>Emission Point EP2-5</t>
  </si>
  <si>
    <t>Exhaust Fan # 6</t>
  </si>
  <si>
    <t>Emission Point EP2-6</t>
  </si>
  <si>
    <t>Exhaust Fan # 7</t>
  </si>
  <si>
    <t>Emission Point EP1-7</t>
  </si>
  <si>
    <t>Emission Point EP2-7</t>
  </si>
  <si>
    <t>Exhaust Fan # 8</t>
  </si>
  <si>
    <t>Emission Point EP1-8</t>
  </si>
  <si>
    <t>Emission Point EP2-8</t>
  </si>
  <si>
    <t>Exhaust Fan # 9</t>
  </si>
  <si>
    <t>Emission Point EP1-9</t>
  </si>
  <si>
    <t>Exhaust Fan #1</t>
  </si>
  <si>
    <t>Emission Point EP2-1</t>
  </si>
  <si>
    <t xml:space="preserve"> Hood Sludge System</t>
  </si>
  <si>
    <t>Sludge Pump No. 1</t>
  </si>
  <si>
    <t>Hood Sludge System</t>
  </si>
  <si>
    <t>Sludge Pump No. 2</t>
  </si>
  <si>
    <t>Sludge Pump No. 3</t>
  </si>
  <si>
    <t>Hood Paint Washer</t>
  </si>
  <si>
    <t>Circulation Pump Stage #1</t>
  </si>
  <si>
    <t>Chilled Water Circulation Pump #1</t>
  </si>
  <si>
    <t>Chilled Water Circulation Pump #2</t>
  </si>
  <si>
    <t>Clean Spray Stage No. 1</t>
  </si>
  <si>
    <t>Primer Sludge System</t>
  </si>
  <si>
    <t>Color No. 1 Sludge</t>
  </si>
  <si>
    <t>Color No. 2 Sludge</t>
  </si>
  <si>
    <t>Color No. 3 Sludge</t>
  </si>
  <si>
    <t>Color No. 4 Sludge</t>
  </si>
  <si>
    <t>Color No. 5 Sludge</t>
  </si>
  <si>
    <t>Top Coat Oven #1 (Radiant)</t>
  </si>
  <si>
    <t>Secondary HW</t>
  </si>
  <si>
    <t>P-24</t>
  </si>
  <si>
    <t>B&amp;G 1510 5BC</t>
  </si>
  <si>
    <t>P-25</t>
  </si>
  <si>
    <t>P-26</t>
  </si>
  <si>
    <t>Reprocess Booth No. 3</t>
  </si>
  <si>
    <t>Booth No. 3</t>
  </si>
  <si>
    <t>Top Coat Oven #2 (Convection)</t>
  </si>
  <si>
    <t>EXHAUST</t>
  </si>
  <si>
    <t>Facility EXH Fans-Site Wide</t>
  </si>
  <si>
    <t>Align. Bldg.</t>
  </si>
  <si>
    <t>SF-10</t>
  </si>
  <si>
    <t>Greenheck LSF-30 Supply Fan</t>
  </si>
  <si>
    <t>SF-11, SF11A</t>
  </si>
  <si>
    <t>RTU-14</t>
  </si>
  <si>
    <t>Trane PC-07</t>
  </si>
  <si>
    <t>300D Kitchen</t>
  </si>
  <si>
    <t>RTU-D</t>
  </si>
  <si>
    <t>Trane P18N</t>
  </si>
  <si>
    <t>300D Locker</t>
  </si>
  <si>
    <t>RTU-F</t>
  </si>
  <si>
    <t>Tennessee Booth Exhaust Fan #1</t>
  </si>
  <si>
    <t>Emission Point EP39-1</t>
  </si>
  <si>
    <t>Tennessee Booth Exhaust Fan #4</t>
  </si>
  <si>
    <t>Emission Point EP39-4</t>
  </si>
  <si>
    <t>City Water Rinse Stage No. 3</t>
  </si>
  <si>
    <t>City Water Rinse Stage No. 5</t>
  </si>
  <si>
    <t>City Water Rinse Stage No. 6</t>
  </si>
  <si>
    <t>Top Coat Oven #2 (Radiant)</t>
  </si>
  <si>
    <t>Multi Color Oven</t>
  </si>
  <si>
    <t>P-22</t>
  </si>
  <si>
    <t>B&amp;G 1510 4AC</t>
  </si>
  <si>
    <t>Blow-Off Circulation Fan #1</t>
  </si>
  <si>
    <t>Blower Fan</t>
  </si>
  <si>
    <t>Blow-Off Circulation Fan #2</t>
  </si>
  <si>
    <t>Reprocess Booth No. 7</t>
  </si>
  <si>
    <t>Booth No. 7 Small Parts</t>
  </si>
  <si>
    <t>BOILER</t>
  </si>
  <si>
    <t>Mechanical Room</t>
  </si>
  <si>
    <t>Boiler No.5</t>
  </si>
  <si>
    <t>Main Boiler, Mechanical Room, Electrical Loads</t>
  </si>
  <si>
    <t>Boiler Room</t>
  </si>
  <si>
    <t>Boiler No.3</t>
  </si>
  <si>
    <t>Boiler Room 400A, Electrical Loads</t>
  </si>
  <si>
    <t>500 Bldg.</t>
  </si>
  <si>
    <t>EF-12</t>
  </si>
  <si>
    <t>Greenheck GB-480 Exhaust Fan</t>
  </si>
  <si>
    <t>400A Bldg.</t>
  </si>
  <si>
    <t>EF-32, EF-32A</t>
  </si>
  <si>
    <t>Greenheck RPBE-60-H Exhaust Fan</t>
  </si>
  <si>
    <t>EF-33</t>
  </si>
  <si>
    <t>400C Bldg.</t>
  </si>
  <si>
    <t>EF-41</t>
  </si>
  <si>
    <t>Greenheck GB-540-30 Exhaust Fan</t>
  </si>
  <si>
    <t>500D Alignment</t>
  </si>
  <si>
    <t>EF-45, EF-45A</t>
  </si>
  <si>
    <t>Greenheck GB-480-30 Exhaust Fan</t>
  </si>
  <si>
    <t>Wabco Bldg.</t>
  </si>
  <si>
    <t>SF-5</t>
  </si>
  <si>
    <t>Greenheck RSF-200 Supply Fan</t>
  </si>
  <si>
    <t>SF-6</t>
  </si>
  <si>
    <t>Dyno 2 Bldg.</t>
  </si>
  <si>
    <t>SF-9</t>
  </si>
  <si>
    <t>Emission Point EP29-1</t>
  </si>
  <si>
    <t>Emission Point EP29-2</t>
  </si>
  <si>
    <t>Emission Point EP29-3</t>
  </si>
  <si>
    <t>Emission Point EP29-4</t>
  </si>
  <si>
    <t>Emission Point EP31-1</t>
  </si>
  <si>
    <t>Emission Point EP32-1</t>
  </si>
  <si>
    <t xml:space="preserve">Hood Oven Zone #1 </t>
  </si>
  <si>
    <t>Emission Point HP-E12</t>
  </si>
  <si>
    <t>Hood Oven Zone #2</t>
  </si>
  <si>
    <t>Booth #1 Exhaust Fan #1</t>
  </si>
  <si>
    <t>Emission Point EP38-1</t>
  </si>
  <si>
    <t>Booth #1 Exhaust Fan #2</t>
  </si>
  <si>
    <t>Emission Point EP38-2</t>
  </si>
  <si>
    <t>Booth #1 Exhaust Fan #4</t>
  </si>
  <si>
    <t>Emission Point EP38-4</t>
  </si>
  <si>
    <t>Booth #1 Oven Exhaust</t>
  </si>
  <si>
    <t>Tennessee Booth Flash-Off</t>
  </si>
  <si>
    <t>Emission Point EP39-5</t>
  </si>
  <si>
    <t>Pretreat Oven</t>
  </si>
  <si>
    <t>Pretreat  Oven Cooling Tunnel</t>
  </si>
  <si>
    <t>Emission Point EP5-1</t>
  </si>
  <si>
    <t>Primer Prep &amp; Tack-Off</t>
  </si>
  <si>
    <t>Emission Point EP3-1</t>
  </si>
  <si>
    <t>Emission Point EP3-2</t>
  </si>
  <si>
    <t>Emission Point EP3-3</t>
  </si>
  <si>
    <t>Emission Point EP3-4</t>
  </si>
  <si>
    <t>Primer Oven</t>
  </si>
  <si>
    <t>Primer Oven Cooling Tunnel</t>
  </si>
  <si>
    <t>Cooling Tunnel</t>
  </si>
  <si>
    <t>Emission Point EP25-5</t>
  </si>
  <si>
    <t>Emission Point EP26-5</t>
  </si>
  <si>
    <t>Booth No. 6 &amp; 7 Plastic</t>
  </si>
  <si>
    <t>Booth No. 6 &amp; 7 Flash-Off</t>
  </si>
  <si>
    <t>Emission Point EP27-1</t>
  </si>
  <si>
    <t>Emission Point EP1-5</t>
  </si>
  <si>
    <t>Emission Point EP1-6</t>
  </si>
  <si>
    <t>Emission Point EP1-1</t>
  </si>
  <si>
    <t xml:space="preserve">Tunnel Fan #1 </t>
  </si>
  <si>
    <t>Tack Booth No. 3</t>
  </si>
  <si>
    <t>Emission Point EP49-1</t>
  </si>
  <si>
    <t xml:space="preserve">Cut-In Fan #1 </t>
  </si>
  <si>
    <t>Emission Point EP49-3</t>
  </si>
  <si>
    <t>Tunnel Fan #2</t>
  </si>
  <si>
    <t>Exhaust Fan #2</t>
  </si>
  <si>
    <t>Emission Point EP49-2</t>
  </si>
  <si>
    <t>Cut-In Fan #2</t>
  </si>
  <si>
    <t>Emission Point EP49-4</t>
  </si>
  <si>
    <t>Circulation Pump Stage #2</t>
  </si>
  <si>
    <t>Circulation Pump Stage #3</t>
  </si>
  <si>
    <t>Cooling Tunnel (Line A)</t>
  </si>
  <si>
    <t>Cooling Tunnel (Line B)</t>
  </si>
  <si>
    <t>Booth #1 Oven Heater Box</t>
  </si>
  <si>
    <t>Pretreat Oven Heater Box</t>
  </si>
  <si>
    <t>Oven Heater Box</t>
  </si>
  <si>
    <t>Top Coat Oven #1 (Convection)</t>
  </si>
  <si>
    <t>Tack Booth No. 2</t>
  </si>
  <si>
    <t>Emission Point EP48-2</t>
  </si>
  <si>
    <t>Entrance Air Seal</t>
  </si>
  <si>
    <t>Air Seal Fan</t>
  </si>
  <si>
    <t>Exit Air Seal</t>
  </si>
  <si>
    <t>Top Coat Oven #1</t>
  </si>
  <si>
    <t>Entrance Air Seal Fan</t>
  </si>
  <si>
    <t xml:space="preserve">Top Coat Oven #2 </t>
  </si>
  <si>
    <t>Multi Color Oven Entrance</t>
  </si>
  <si>
    <t>Emission Point EP30-1</t>
  </si>
  <si>
    <t>Emission Point EP33-1</t>
  </si>
  <si>
    <t>Emission Point EP33-2</t>
  </si>
  <si>
    <t>Emission Point EP33-3</t>
  </si>
  <si>
    <t>Emission Point EP33-4</t>
  </si>
  <si>
    <t>Emission Point EP44-1</t>
  </si>
  <si>
    <t>Booth #1 Exhaust Fan #3</t>
  </si>
  <si>
    <t>Emission Point EP38-3</t>
  </si>
  <si>
    <t>Booth #1 Exhaust Fan #5</t>
  </si>
  <si>
    <t>Emission Point EP38-5</t>
  </si>
  <si>
    <t>Emission Point EP28-1</t>
  </si>
  <si>
    <t>Emission Point EP28-5</t>
  </si>
  <si>
    <t>Emission Point EP58-1</t>
  </si>
  <si>
    <t>Emission Point EP58-2</t>
  </si>
  <si>
    <t>Tack Booth No. 1</t>
  </si>
  <si>
    <t>Emission Point EP47-1</t>
  </si>
  <si>
    <t>Emission Point EP48-1</t>
  </si>
  <si>
    <t>Exhaust Fan #10</t>
  </si>
  <si>
    <t>Emission Point EP1-10</t>
  </si>
  <si>
    <t>Emission Point EP47-2</t>
  </si>
  <si>
    <t>Exit Air Seal Fan</t>
  </si>
  <si>
    <t>Top Coat Oven #2</t>
  </si>
  <si>
    <t>Multi Color Oven Exit</t>
  </si>
  <si>
    <t>400B Paint Mix</t>
  </si>
  <si>
    <t>EF-35</t>
  </si>
  <si>
    <t>Greenheck GWB-24-20 Exhaust Fan</t>
  </si>
  <si>
    <t>Kitchen</t>
  </si>
  <si>
    <t>MU-2 Exhaust Fan</t>
  </si>
  <si>
    <t>Carnes VRBK24V1</t>
  </si>
  <si>
    <t>500B Bldg.</t>
  </si>
  <si>
    <t>SF-12</t>
  </si>
  <si>
    <t>Greenheck LSF-24 Supply Fan</t>
  </si>
  <si>
    <t>Comb. Air 800 HP.B</t>
  </si>
  <si>
    <t>SF-4</t>
  </si>
  <si>
    <t>Greenheck LSF-18 Supply Fan</t>
  </si>
  <si>
    <t>Hood Paint Center</t>
  </si>
  <si>
    <t>Boiler No.4</t>
  </si>
  <si>
    <t>Hood paint center, Electrical Loads</t>
  </si>
  <si>
    <t>Audit</t>
  </si>
  <si>
    <t>300D Health</t>
  </si>
  <si>
    <t>RTU-G</t>
  </si>
  <si>
    <t>Trane P07N</t>
  </si>
  <si>
    <t>Oven (Line A)</t>
  </si>
  <si>
    <t>Recirculating Fan # 2</t>
  </si>
  <si>
    <t>Robot Automation Spray</t>
  </si>
  <si>
    <t>Control Panel</t>
  </si>
  <si>
    <t>PANEL</t>
  </si>
  <si>
    <t>ROBOT</t>
  </si>
  <si>
    <t>Control Panel for Robot</t>
  </si>
  <si>
    <t>Robot Automation Prime Booth</t>
  </si>
  <si>
    <t>Paint Spray No. 2</t>
  </si>
  <si>
    <t>Robot Automation Booth No. 1</t>
  </si>
  <si>
    <t>Robot Automation Booth No. 2</t>
  </si>
  <si>
    <t>Robot Automation Booth No. 3</t>
  </si>
  <si>
    <t>Sanding Area No. 5</t>
  </si>
  <si>
    <t>Color No. 5 - In Sanding Area</t>
  </si>
  <si>
    <t>Sanding Area No. 6</t>
  </si>
  <si>
    <t>Color No. 6 - In Sanding Area</t>
  </si>
  <si>
    <t>Hood Washer</t>
  </si>
  <si>
    <t>Dry Off Oven Exhaust</t>
  </si>
  <si>
    <t>Tennessee Booth Exhaust Fan #2</t>
  </si>
  <si>
    <t>Emission Point EP39-2</t>
  </si>
  <si>
    <t>Tennessee Booth Exhaust Fan #3</t>
  </si>
  <si>
    <t>Emission Point EP39-3</t>
  </si>
  <si>
    <t>Sludge Consolidation Pump</t>
  </si>
  <si>
    <t>DI Water Supply Pump</t>
  </si>
  <si>
    <t>Recirculating Fan</t>
  </si>
  <si>
    <t>Recirculating Fan # 3</t>
  </si>
  <si>
    <t>Recirculating Fan # 4</t>
  </si>
  <si>
    <t>Recirculating Fan # 5</t>
  </si>
  <si>
    <t>Recirculating Fan # 6</t>
  </si>
  <si>
    <t>Recirculating Fan #1</t>
  </si>
  <si>
    <t>Booth #1 Oven Fans</t>
  </si>
  <si>
    <t>Heater Box (Line B)</t>
  </si>
  <si>
    <t>Dry-Off Oven (D126LOS)</t>
  </si>
  <si>
    <t>Booth #1 Burner</t>
  </si>
  <si>
    <t>Booth #2 Burner</t>
  </si>
  <si>
    <t>Tennessee Booth North AHU Burner</t>
  </si>
  <si>
    <t>Tennessee Booth South AHU Burner</t>
  </si>
  <si>
    <t>Hot Water Boiler Heater</t>
  </si>
  <si>
    <t>Heater Box ASH #1</t>
  </si>
  <si>
    <t>Combustion Blower # 2</t>
  </si>
  <si>
    <t>Heater Box (Line A)</t>
  </si>
  <si>
    <t>Heater Box ASH # 2</t>
  </si>
  <si>
    <t>Combustion Blower # 3</t>
  </si>
  <si>
    <t>Combustion Blower # 4</t>
  </si>
  <si>
    <t>Combustion Blower #1</t>
  </si>
  <si>
    <t>EF-10, EF-11</t>
  </si>
  <si>
    <t>Greenheck GB-200-15 Exhaust Fan</t>
  </si>
  <si>
    <t>200 Bldg.</t>
  </si>
  <si>
    <t>EF-15</t>
  </si>
  <si>
    <t>Greenheck SP-158 Exhaust Fan</t>
  </si>
  <si>
    <t>200B SW. Gear</t>
  </si>
  <si>
    <t>EF-20</t>
  </si>
  <si>
    <t>Greenheck GB-300-10 Exhaust Fan</t>
  </si>
  <si>
    <t>200 Substation #5</t>
  </si>
  <si>
    <t>EF-21</t>
  </si>
  <si>
    <t>700 Tun./Brdg</t>
  </si>
  <si>
    <t>EF-22, EF-22A</t>
  </si>
  <si>
    <t>Greenheck GB-420-7 Exhaust Fan</t>
  </si>
  <si>
    <t>300D Hlth. Tlt.</t>
  </si>
  <si>
    <t>EF-25</t>
  </si>
  <si>
    <t>Greenheck SP-117 Exhaust Fan</t>
  </si>
  <si>
    <t>EF-39, EF-40</t>
  </si>
  <si>
    <t>EF-43</t>
  </si>
  <si>
    <t>Greenheck GB-360-3 Exhaust Fan</t>
  </si>
  <si>
    <t>EF-44</t>
  </si>
  <si>
    <t>PMIA</t>
  </si>
  <si>
    <t>EF-50</t>
  </si>
  <si>
    <t>MU-1 Exhaust Fan</t>
  </si>
  <si>
    <t>Carnes VRBK18S1</t>
  </si>
  <si>
    <t>300A Bldg.</t>
  </si>
  <si>
    <t>SF-7</t>
  </si>
  <si>
    <t>Greenheck LSF-16 Supply Fan</t>
  </si>
  <si>
    <t>Hot Water Boiler</t>
  </si>
  <si>
    <t>CT Recirculation Fan #1</t>
  </si>
  <si>
    <t>CT Recirculation Fan #2</t>
  </si>
  <si>
    <t>Tennessee Oven - Radian Zone</t>
  </si>
  <si>
    <t>Emission Point MTR 208</t>
  </si>
  <si>
    <t>Primer Flash-Off Exhaust Fan</t>
  </si>
  <si>
    <t>Emission Point EP4A-1</t>
  </si>
  <si>
    <t>Hot Water Circulation Pump #1</t>
  </si>
  <si>
    <t>Hot Water Circulation Pump #2</t>
  </si>
  <si>
    <t>Recirculating Fan # 7</t>
  </si>
  <si>
    <t>Recirculating Fan # 8</t>
  </si>
  <si>
    <t>Oven Entrance End</t>
  </si>
  <si>
    <t>Recirculating Fan #2</t>
  </si>
  <si>
    <t>Recirculating Fan #3</t>
  </si>
  <si>
    <t>Oven Exit End</t>
  </si>
  <si>
    <t>Recirculating Fan #4</t>
  </si>
  <si>
    <t>Recirculating Fan #5</t>
  </si>
  <si>
    <t>Recirculating Fan #6</t>
  </si>
  <si>
    <t>Plastics Oven</t>
  </si>
  <si>
    <t>Plastics Oven Cooling Tunnel</t>
  </si>
  <si>
    <t>Primer Sand Booth Plenum</t>
  </si>
  <si>
    <t>Recirculation Fan # - 1</t>
  </si>
  <si>
    <t>Recirculation Fan # - 2</t>
  </si>
  <si>
    <t>Recirculation Fan # - 3</t>
  </si>
  <si>
    <t>Recirculation Fan # - 4</t>
  </si>
  <si>
    <t>Recirculation Fan # - 5</t>
  </si>
  <si>
    <t>Recirculation Fan # - 6</t>
  </si>
  <si>
    <t>Recirculation Fan # - 7</t>
  </si>
  <si>
    <t>Recirculation Fan # - 8</t>
  </si>
  <si>
    <t>Tennessee Oven - Turbulent Zone</t>
  </si>
  <si>
    <t>Emission Point MTR 354</t>
  </si>
  <si>
    <t>Turbulator Fan # 2</t>
  </si>
  <si>
    <t>Emission Point MTR 352</t>
  </si>
  <si>
    <t>Turbulator Fan #1</t>
  </si>
  <si>
    <t>Emission Point MTR 350</t>
  </si>
  <si>
    <t>Refurb</t>
  </si>
  <si>
    <t>EF-17</t>
  </si>
  <si>
    <t>Greenheck GB-220-7 Exhaust Fan</t>
  </si>
  <si>
    <t>500 Bldg. Comp. Rm</t>
  </si>
  <si>
    <t>EF-19</t>
  </si>
  <si>
    <t>Greenheck SPF-24 Exhaust Fan</t>
  </si>
  <si>
    <t>400A SW. Gear</t>
  </si>
  <si>
    <t>EF-30</t>
  </si>
  <si>
    <t>Greenheck GWB-24-7 Exhaust Fan</t>
  </si>
  <si>
    <t>400B Bldg.</t>
  </si>
  <si>
    <t>EF-34</t>
  </si>
  <si>
    <t>200D Sw. Gear</t>
  </si>
  <si>
    <t>EF-48</t>
  </si>
  <si>
    <t>Greenheck GB-220-10 Exhaust Fan</t>
  </si>
  <si>
    <t>Machine Room</t>
  </si>
  <si>
    <t>EF-7</t>
  </si>
  <si>
    <t>Greenheck GB-420-10 Exhaust Fan</t>
  </si>
  <si>
    <t>EF-8</t>
  </si>
  <si>
    <t>EF-9</t>
  </si>
  <si>
    <t>MU-2 Makeup Fan</t>
  </si>
  <si>
    <t>Greasemaster GM-77</t>
  </si>
  <si>
    <t>Primer Oven Exhaust</t>
  </si>
  <si>
    <t>Sludge Consolidator Pump</t>
  </si>
  <si>
    <t>Sludge Consolidator Pump PALIN</t>
  </si>
  <si>
    <t>WWTP</t>
  </si>
  <si>
    <t>Waste Treatment</t>
  </si>
  <si>
    <t>Equalizer Tank #1</t>
  </si>
  <si>
    <t>Transfer Pump</t>
  </si>
  <si>
    <t>Equalizer Tank #2</t>
  </si>
  <si>
    <t>Neutralizer Tank Transfer Pump #1</t>
  </si>
  <si>
    <t>Neutralizer Tank Transfer Pump #2</t>
  </si>
  <si>
    <t>200 Bldg. Comp Rm</t>
  </si>
  <si>
    <t>EF-16</t>
  </si>
  <si>
    <t>Greenheck GB-300-5 Exhaust Fan</t>
  </si>
  <si>
    <t>400B Comp. Rm.</t>
  </si>
  <si>
    <t>EF-27</t>
  </si>
  <si>
    <t>Greenheck GWB-21-5 Exhaust Fan</t>
  </si>
  <si>
    <t>400B Toilets</t>
  </si>
  <si>
    <t>EF-28</t>
  </si>
  <si>
    <t>Greenheck GWB-24-5 Exhaust Fan</t>
  </si>
  <si>
    <t>EF-36</t>
  </si>
  <si>
    <t>Greenheck GWB-18-5 Exhaust Fan</t>
  </si>
  <si>
    <t>MU-1 Makeup Fan</t>
  </si>
  <si>
    <t>SF-8</t>
  </si>
  <si>
    <t>Greenheck LSF-15 Supply Fan</t>
  </si>
  <si>
    <t>Office</t>
  </si>
  <si>
    <t>Boiler No.1</t>
  </si>
  <si>
    <t>Office Boiler, Electrical Loads</t>
  </si>
  <si>
    <t>300D Dishwash</t>
  </si>
  <si>
    <t>EF-23</t>
  </si>
  <si>
    <t>Greenheck GB-220-3 Exhaust Fan</t>
  </si>
  <si>
    <t>400A Toilet</t>
  </si>
  <si>
    <t>EF-31</t>
  </si>
  <si>
    <t>Greenheck GB-130-3 Exhaust Fan</t>
  </si>
  <si>
    <t>400A Fut. Comp.</t>
  </si>
  <si>
    <t>EF-38</t>
  </si>
  <si>
    <t>Greenheck GWB-14-3 Exhaust Fan</t>
  </si>
  <si>
    <t>400A Storage</t>
  </si>
  <si>
    <t>EF-42</t>
  </si>
  <si>
    <t>Greenheck GWB-A-3 Exhaust Fan</t>
  </si>
  <si>
    <t>Comb. Air 150 HP.B</t>
  </si>
  <si>
    <t>SF-3</t>
  </si>
  <si>
    <t>Greenheck LSF-12 Supply Fan</t>
  </si>
  <si>
    <t>Emission Point MTR 210</t>
  </si>
  <si>
    <t>Emission Point MTR 356</t>
  </si>
  <si>
    <t>Pretreat</t>
  </si>
  <si>
    <t>Emission Point EP28-2</t>
  </si>
  <si>
    <t>Emission Point EP28-3</t>
  </si>
  <si>
    <t>Emission Point EP28-4</t>
  </si>
  <si>
    <t>Fresh Air Supply Fan</t>
  </si>
  <si>
    <t>Emission Point MTR 206</t>
  </si>
  <si>
    <t>EF-13</t>
  </si>
  <si>
    <t>Greenheck GB-90-4 Exhaust Fan</t>
  </si>
  <si>
    <t>EF-14</t>
  </si>
  <si>
    <t>EF-18</t>
  </si>
  <si>
    <t>Greenheck GB-180-4 Exhaust Fan</t>
  </si>
  <si>
    <t>300D Lckr. Rm.</t>
  </si>
  <si>
    <t>EF-26</t>
  </si>
  <si>
    <t>Greenheck GB-100-4 Exhaust Fan</t>
  </si>
  <si>
    <t>EF-29</t>
  </si>
  <si>
    <t>Greenheck GWB-14-4 Exhaust Fan</t>
  </si>
  <si>
    <t>500B Toilet</t>
  </si>
  <si>
    <t>EF-46</t>
  </si>
  <si>
    <t>Greenheck GB-160-4 Exhaust Fan</t>
  </si>
  <si>
    <t>300A Amenities</t>
  </si>
  <si>
    <t>EF-47</t>
  </si>
  <si>
    <t>Greenheck GB-130-4 Exhaust Fan</t>
  </si>
  <si>
    <t>200D Storage</t>
  </si>
  <si>
    <t>EF-49</t>
  </si>
  <si>
    <t>600A Bldg.</t>
  </si>
  <si>
    <t>EF-51</t>
  </si>
  <si>
    <t>Greenheck GB-80-4 Exhaust Fan</t>
  </si>
  <si>
    <t>EF-52</t>
  </si>
  <si>
    <t>200D Amenities</t>
  </si>
  <si>
    <t>EF-53</t>
  </si>
  <si>
    <t>EF-54</t>
  </si>
  <si>
    <t>Toilets 900 Bldg.</t>
  </si>
  <si>
    <t>EF-6</t>
  </si>
  <si>
    <t>Greenheck GB-120 Exhaust Fan</t>
  </si>
  <si>
    <t>Reaction Tank #3 Agitator</t>
  </si>
  <si>
    <t>Mix Tank Agitator</t>
  </si>
  <si>
    <t>MIXER</t>
  </si>
  <si>
    <t>Reaction Tank #4 Agitator</t>
  </si>
  <si>
    <t>Neutralization Tank #5 Agitator</t>
  </si>
  <si>
    <t>Neutralization Tank #6 Agitator</t>
  </si>
  <si>
    <t>Lamella Clarifier Agitator #1</t>
  </si>
  <si>
    <t>Lamella Clarifier Agitator #2</t>
  </si>
  <si>
    <t>Oven Heater Box (Combustion)</t>
  </si>
  <si>
    <t>Top Coat Oven #1(Convection)</t>
  </si>
  <si>
    <t xml:space="preserve">Multi Color Oven </t>
  </si>
  <si>
    <t>Elev. Mach. Rm.</t>
  </si>
  <si>
    <t>EF-37</t>
  </si>
  <si>
    <t>Greenheck SDE-16-24-B Exhaust Fan</t>
  </si>
  <si>
    <t>300D Janitor</t>
  </si>
  <si>
    <t>EF-24</t>
  </si>
  <si>
    <t>Greenheck G-60-D Exhaust Fan</t>
  </si>
  <si>
    <t>Hood Paint</t>
  </si>
  <si>
    <t>Trane RTAC3504</t>
  </si>
  <si>
    <t>Chiller-5</t>
  </si>
  <si>
    <t>Chiller-6</t>
  </si>
  <si>
    <t>UH-2 - UH-5</t>
  </si>
  <si>
    <t>Trane GPND-010ADD1000-NG Unit Heater (FAN)</t>
  </si>
  <si>
    <t>UH-6</t>
  </si>
  <si>
    <t>Chromalox LUH-02-21-Unit Heater (FAN)</t>
  </si>
  <si>
    <t>HEAT</t>
  </si>
  <si>
    <t>Chromalox LUH-02-21-Unit Heater (Heat Elements)</t>
  </si>
  <si>
    <t>INSERT LINES ONLY - DO NOT DRAG DOWN</t>
  </si>
  <si>
    <t>INFO Only</t>
  </si>
  <si>
    <t>INFO
Only</t>
  </si>
  <si>
    <t>Changes
kW</t>
  </si>
  <si>
    <t>Changes Hours</t>
  </si>
  <si>
    <t>TOTALS</t>
  </si>
  <si>
    <t>CHECKS</t>
  </si>
  <si>
    <t>The tables below are created manually by sorting the above lines.</t>
  </si>
  <si>
    <t>These do not update automatically.</t>
  </si>
  <si>
    <t>The data from the tables below are used to create Energy USE pie charts.</t>
  </si>
  <si>
    <t>ELEC EQUIV</t>
  </si>
  <si>
    <t># of Line Items</t>
  </si>
  <si>
    <t>COMFORT</t>
  </si>
  <si>
    <t>PROCESS</t>
  </si>
  <si>
    <t>AIR COOLED</t>
  </si>
  <si>
    <t>ELECTRICAL</t>
  </si>
  <si>
    <t>ALL TYPES</t>
  </si>
  <si>
    <t>PUMP &amp; MIXER</t>
  </si>
  <si>
    <t>FORKLIFT, etc.</t>
  </si>
  <si>
    <t>3D</t>
  </si>
  <si>
    <t>Combustion Equipment Master</t>
  </si>
  <si>
    <t>L = ON and runs continuously during operations of associated manufacturing line</t>
  </si>
  <si>
    <t>ALL Natural Gas on ONE</t>
  </si>
  <si>
    <t>V = Variable loads,  equipment is ON, but ramps up and down depending on plant needs (air compressors &amp; chillers)</t>
  </si>
  <si>
    <t>Other Combustion MMBTU from this table:</t>
  </si>
  <si>
    <t>B = ON all the time (i.e. base load, servers, lighting, offices, certain fans, safety equipment, etc.)</t>
  </si>
  <si>
    <t xml:space="preserve">Total  Estimated ANNUAL Natural Gas MMBTU from this table:  </t>
  </si>
  <si>
    <t>DF = Diversity Factor, to account for things like oven heating, hot water heating, etc. (fossil fuel heating)</t>
  </si>
  <si>
    <t xml:space="preserve">Total actual ANNUAL MMBTU from all natural gas invoices:  </t>
  </si>
  <si>
    <t>LF = Load factor for the item, when running/operating. If the items runs at full load during operations, then the LF is 100%</t>
  </si>
  <si>
    <t>OF = Operational Factor for the plant. What percentage of the total time is the plant running.</t>
  </si>
  <si>
    <r>
      <rPr>
        <b/>
        <sz val="14"/>
        <color rgb="FFFF00FF"/>
        <rFont val="Calibri"/>
        <family val="2"/>
        <scheme val="minor"/>
      </rPr>
      <t>SF</t>
    </r>
    <r>
      <rPr>
        <b/>
        <sz val="12"/>
        <color theme="1"/>
        <rFont val="Calibri"/>
        <family val="2"/>
        <scheme val="minor"/>
      </rPr>
      <t xml:space="preserve"> = Seasonal Factor should be YES for loads impacted by the season and weather conditions</t>
    </r>
  </si>
  <si>
    <t xml:space="preserve">Nameplate Data from Combustion Burner Equipment </t>
  </si>
  <si>
    <t>QUANTITY</t>
  </si>
  <si>
    <t>BTU/HR</t>
  </si>
  <si>
    <r>
      <t>COMB</t>
    </r>
    <r>
      <rPr>
        <b/>
        <vertAlign val="subscript"/>
        <sz val="12"/>
        <color theme="1"/>
        <rFont val="Calibri"/>
        <family val="2"/>
      </rPr>
      <t>EFF</t>
    </r>
  </si>
  <si>
    <t>Y/N</t>
  </si>
  <si>
    <t>Any Additional Comments</t>
  </si>
  <si>
    <t>Combustion Burner</t>
  </si>
  <si>
    <t>COMB</t>
  </si>
  <si>
    <t>Combustion burner, fueled by natural gas</t>
  </si>
  <si>
    <t>Combustion Burner #1</t>
  </si>
  <si>
    <t>Combustion Burner #2</t>
  </si>
  <si>
    <t>Combustion Burner #3</t>
  </si>
  <si>
    <t>Combustion Burner #4</t>
  </si>
  <si>
    <t>Heater Box ASH #2</t>
  </si>
  <si>
    <t>Tank Water Heating</t>
  </si>
  <si>
    <t>WASHER</t>
  </si>
  <si>
    <t>Hood Spray Booth</t>
  </si>
  <si>
    <t>Hood Clear Coat</t>
  </si>
  <si>
    <t>Clear Coat Air House</t>
  </si>
  <si>
    <t>Tennessee Oven - Radiant Zone</t>
  </si>
  <si>
    <t>HOT WATER</t>
  </si>
  <si>
    <t>HEATING</t>
  </si>
  <si>
    <t>Radiant Heater-1</t>
  </si>
  <si>
    <t>Space Ray RSCA6-N1 Radiant Heater, natural gas</t>
  </si>
  <si>
    <t>Radiant Heater-2</t>
  </si>
  <si>
    <t>Space Ray RCSA3-N5 Radiant Heater, natural gas</t>
  </si>
  <si>
    <t>Trane GPND-010ADD1000, Unit Heater</t>
  </si>
  <si>
    <t>Office Boiler, Natural Gas-fired (1.02 million BTU per hour maximum heat input).</t>
  </si>
  <si>
    <t>Boiler Room 400A, Natural gas-fired  (8.37 million BTU per hour maximum heat input).</t>
  </si>
  <si>
    <t>Hood paint center, natural gas-fired (5.14 million BTU per hour maximum heat input)</t>
  </si>
  <si>
    <t>Main Boiler, Mechanical Room natural gas-fired (33.6 million BTU per hour maximum heat input).</t>
  </si>
  <si>
    <t>Unit Heaters</t>
  </si>
  <si>
    <t>Overhead mounted unit heaters-gas fired</t>
  </si>
  <si>
    <t>LP-IC</t>
  </si>
  <si>
    <t>Vehicle powered by Liquid Propane (LP)</t>
  </si>
  <si>
    <t>DIESEL</t>
  </si>
  <si>
    <t>Plant Wide-Yard</t>
  </si>
  <si>
    <t>Vehicle powered by Diesel Fuel</t>
  </si>
  <si>
    <t>Changes
MMBTU</t>
  </si>
  <si>
    <t>N.G. TOTALS</t>
  </si>
  <si>
    <t>Vehicle</t>
  </si>
  <si>
    <t>LP</t>
  </si>
  <si>
    <t>Fork Lifts</t>
  </si>
  <si>
    <t>SEASONAL Effected Load</t>
  </si>
  <si>
    <t>Site Pull Down</t>
  </si>
  <si>
    <t>OPS CODE Pull DOWN</t>
  </si>
  <si>
    <t>Sub-Metered Load</t>
  </si>
  <si>
    <t xml:space="preserve">DIESEL </t>
  </si>
  <si>
    <t>KEY 1</t>
  </si>
  <si>
    <t>KEY 2</t>
  </si>
  <si>
    <t>RADI</t>
  </si>
  <si>
    <t>HW HTR</t>
  </si>
  <si>
    <t>WASH</t>
  </si>
  <si>
    <t>Utility Data and Relevant Variables</t>
  </si>
  <si>
    <t>Cut and Paste, or link this tab to your EnPI model "Input Raw Data" Tab</t>
  </si>
  <si>
    <t>All plants have EnPI models  with this information already collected.</t>
  </si>
  <si>
    <t>Energy Input Data</t>
  </si>
  <si>
    <t xml:space="preserve"> Possible Relevant Variables</t>
  </si>
  <si>
    <t>PRIMARY (*3)</t>
  </si>
  <si>
    <t>TOTAL ENERGY</t>
  </si>
  <si>
    <t>Actual Date *</t>
  </si>
  <si>
    <t>Electricity (kWh site)</t>
  </si>
  <si>
    <t>Electricity (MMBTU)</t>
  </si>
  <si>
    <t>Natural Gas (kWh)</t>
  </si>
  <si>
    <t>Natural Gas (MMBTU)</t>
  </si>
  <si>
    <t>Manhours</t>
  </si>
  <si>
    <t>Paint (Gallons)</t>
  </si>
  <si>
    <t>Heating Degree Days (HDD)</t>
  </si>
  <si>
    <t>Cooling Degree Days (CDD)</t>
  </si>
  <si>
    <t>Period</t>
  </si>
  <si>
    <t>MMBTU (Site)</t>
  </si>
  <si>
    <t>Electric (kWh)</t>
  </si>
  <si>
    <t>Estimated versus Actual</t>
  </si>
  <si>
    <t>GRAND TOTALS</t>
  </si>
  <si>
    <t>This is used to compare you measured and estimated energy consumption at end uses to the actual total energy that you were billed for</t>
  </si>
  <si>
    <t>For example if your total site electrical bills for the year add up to 65,000,000 kwh, your goal will be for you electrical energy consumption estimate to be close to this same number</t>
  </si>
  <si>
    <t>SITE LEVEL</t>
  </si>
  <si>
    <t>ELECTRICITY</t>
  </si>
  <si>
    <t>CONVERT Electrical to MMBTU</t>
  </si>
  <si>
    <t xml:space="preserve">Total  Estimated ANNUAL kWh from Tab 3C:  </t>
  </si>
  <si>
    <t>NATURAL GAS</t>
  </si>
  <si>
    <t xml:space="preserve">Total  Estimated ANNUAL MMBTU from Tab 3D:  </t>
  </si>
  <si>
    <t>OTHER COMBUSTION FUELS (LP, Diesel)</t>
  </si>
  <si>
    <t xml:space="preserve">Total actual ANNUAL MMBTU from invoices:  </t>
  </si>
  <si>
    <t>ESTIMATE</t>
  </si>
  <si>
    <t xml:space="preserve">GRAND TOTAL Estimate:  </t>
  </si>
  <si>
    <t xml:space="preserve">GRAND TOTAL Actual:  </t>
  </si>
  <si>
    <t xml:space="preserve"> Grand Total DELTA:  </t>
  </si>
  <si>
    <t>Create the TWO key Pie Charts</t>
  </si>
  <si>
    <t>Where does all the energy go? - Continued</t>
  </si>
  <si>
    <t>IN</t>
  </si>
  <si>
    <t>By INVOICES</t>
  </si>
  <si>
    <t>TOTAL energy IN</t>
  </si>
  <si>
    <t>Type</t>
  </si>
  <si>
    <t>%</t>
  </si>
  <si>
    <t>Liquid Propane</t>
  </si>
  <si>
    <t>kwh</t>
  </si>
  <si>
    <t>Actual by Invoice</t>
  </si>
  <si>
    <t>USED</t>
  </si>
  <si>
    <t>SORT</t>
  </si>
  <si>
    <t>TOTAL energy used from ALL TYPES</t>
  </si>
  <si>
    <t>By system</t>
  </si>
  <si>
    <t>High to Low</t>
  </si>
  <si>
    <t>TOTAL</t>
  </si>
  <si>
    <t>Energy Type</t>
  </si>
  <si>
    <t>DEPT</t>
  </si>
  <si>
    <t>ESTIMATED</t>
  </si>
  <si>
    <t>#</t>
  </si>
  <si>
    <t>E</t>
  </si>
  <si>
    <t>NG</t>
  </si>
  <si>
    <t>D</t>
  </si>
  <si>
    <t>Energy Use</t>
  </si>
  <si>
    <t>X</t>
  </si>
  <si>
    <t>PAINT OVENS</t>
  </si>
  <si>
    <t>Paint - OVENS</t>
  </si>
  <si>
    <t>Boilers - PROCESS</t>
  </si>
  <si>
    <t>PAINT FANS</t>
  </si>
  <si>
    <t>Paint - FANS</t>
  </si>
  <si>
    <t>Facility Pumping</t>
  </si>
  <si>
    <t>Facility Chillers</t>
  </si>
  <si>
    <t xml:space="preserve">Facility HVAC </t>
  </si>
  <si>
    <t>Facility Vehicles</t>
  </si>
  <si>
    <t>Boilers - COMFORT</t>
  </si>
  <si>
    <t>Facility Air Compressors</t>
  </si>
  <si>
    <t>Facility Lighting</t>
  </si>
  <si>
    <t>PAINT PUMPS</t>
  </si>
  <si>
    <t>Paint-PUMPS</t>
  </si>
  <si>
    <t>COMB Blowers</t>
  </si>
  <si>
    <t>Paint - Oven Comb. Blowers</t>
  </si>
  <si>
    <t>COOLIING TOWER</t>
  </si>
  <si>
    <t>Facility Cooling Towers</t>
  </si>
  <si>
    <t>PAINT WASHERS</t>
  </si>
  <si>
    <t>Paint - WASHERS</t>
  </si>
  <si>
    <t>EXH FANS</t>
  </si>
  <si>
    <t>Facility Exh Fans</t>
  </si>
  <si>
    <t>PAINT IR OVEN</t>
  </si>
  <si>
    <t>Paint - IR OVENS</t>
  </si>
  <si>
    <t>PAINT ROBOTS</t>
  </si>
  <si>
    <t>Paint - ROBOTS</t>
  </si>
  <si>
    <t>Facility WWTP</t>
  </si>
  <si>
    <t>CHECKs, if ZERO</t>
  </si>
  <si>
    <t>Lighting</t>
  </si>
  <si>
    <t>ELEC</t>
  </si>
  <si>
    <t>From
ISO 50001</t>
  </si>
  <si>
    <t>3.5.6</t>
  </si>
  <si>
    <t>significant energy use</t>
  </si>
  <si>
    <t>SEU</t>
  </si>
  <si>
    <r>
      <t xml:space="preserve">energy use (3.5.4) accounting for </t>
    </r>
    <r>
      <rPr>
        <u/>
        <sz val="11"/>
        <color theme="1"/>
        <rFont val="Calibri"/>
        <family val="2"/>
        <scheme val="minor"/>
      </rPr>
      <t>substantial energy consumption</t>
    </r>
    <r>
      <rPr>
        <sz val="11"/>
        <color theme="1"/>
        <rFont val="Calibri"/>
        <family val="2"/>
        <scheme val="minor"/>
      </rPr>
      <t xml:space="preserve"> (3.5.2) and/or offering </t>
    </r>
    <r>
      <rPr>
        <u/>
        <sz val="11"/>
        <color theme="1"/>
        <rFont val="Calibri"/>
        <family val="2"/>
        <scheme val="minor"/>
      </rPr>
      <t>considerable potential for energy performance improvement</t>
    </r>
    <r>
      <rPr>
        <sz val="11"/>
        <color theme="1"/>
        <rFont val="Calibri"/>
        <family val="2"/>
        <scheme val="minor"/>
      </rPr>
      <t xml:space="preserve"> (3.4.6)</t>
    </r>
  </si>
  <si>
    <t>Note 1 to entry: Significance criteria are determined by the organization (3.1.1).</t>
  </si>
  <si>
    <t>Determination of SEUs</t>
  </si>
  <si>
    <t>Note 2 to entry: SEUs can be facilities, systems, processes, or equipment.</t>
  </si>
  <si>
    <t>Use the consumption pie chart</t>
  </si>
  <si>
    <t>This tab creates a table from the consumption pie chart</t>
  </si>
  <si>
    <t>SEU SCORING CRITERIA</t>
  </si>
  <si>
    <t>Ranked by total combined energy from all types for specifc energy uses</t>
  </si>
  <si>
    <t>Consumption Rank</t>
  </si>
  <si>
    <t>Greater than 20%</t>
  </si>
  <si>
    <t>Calculated score</t>
  </si>
  <si>
    <t>Greater than 15%, but &lt; 20%</t>
  </si>
  <si>
    <t>Site scored</t>
  </si>
  <si>
    <t>Greater than10%, but &lt; 15%</t>
  </si>
  <si>
    <t>Greater than 1%, but &lt; 10%</t>
  </si>
  <si>
    <t xml:space="preserve">Annual </t>
  </si>
  <si>
    <t>SEU SCORING</t>
  </si>
  <si>
    <t>Improvement</t>
  </si>
  <si>
    <t>Less than 1%</t>
  </si>
  <si>
    <t>Consumption</t>
  </si>
  <si>
    <t>Energy Types Consumed</t>
  </si>
  <si>
    <t>Potential</t>
  </si>
  <si>
    <t>OVERALL</t>
  </si>
  <si>
    <t>Energy User</t>
  </si>
  <si>
    <t>(MMBTU)</t>
  </si>
  <si>
    <t>N. Gas</t>
  </si>
  <si>
    <t>Percentage</t>
  </si>
  <si>
    <t>Rank</t>
  </si>
  <si>
    <t>SCORE</t>
  </si>
  <si>
    <t>RANK</t>
  </si>
  <si>
    <t>Improvement Potential Rank</t>
  </si>
  <si>
    <t>This rank will be entered by the site.</t>
  </si>
  <si>
    <t>This is based on the perceived or actual level of potential to improve energy performance.</t>
  </si>
  <si>
    <t>An energy use with a lower consumption could have an excellent improvement potential.</t>
  </si>
  <si>
    <t>Rank the area from 1 to 10 based on the potential for energy performance improvement.</t>
  </si>
  <si>
    <t>Estimated improvement of &gt; 30%  to baseline:</t>
  </si>
  <si>
    <t>Estimated improvement of 20 - 30%  to baseline:</t>
  </si>
  <si>
    <t>Estimated improvement of 10 -  20%  to baseline:</t>
  </si>
  <si>
    <t>Estimated improvement of up to 10%  to baseline:</t>
  </si>
  <si>
    <t>Very  limited opportunity at this time:</t>
  </si>
  <si>
    <t>CHECK</t>
  </si>
  <si>
    <t>SELECTED SEUs</t>
  </si>
  <si>
    <t>Paint OVENS and related processes</t>
  </si>
  <si>
    <t>of total site energy</t>
  </si>
  <si>
    <t>Boilers - Process</t>
  </si>
  <si>
    <t>MAYBE - Air Compressors</t>
  </si>
  <si>
    <t xml:space="preserve">NOTE: </t>
  </si>
  <si>
    <r>
      <t xml:space="preserve">The </t>
    </r>
    <r>
      <rPr>
        <i/>
        <u/>
        <sz val="14"/>
        <color theme="1"/>
        <rFont val="Calibri"/>
        <family val="2"/>
        <scheme val="minor"/>
      </rPr>
      <t>Selected SEUs</t>
    </r>
    <r>
      <rPr>
        <sz val="14"/>
        <color theme="1"/>
        <rFont val="Calibri"/>
        <family val="2"/>
        <scheme val="minor"/>
      </rPr>
      <t xml:space="preserve"> table above is filled out through discussion and agreement of the Energy Team</t>
    </r>
  </si>
  <si>
    <t>Energy Mapping Process for ANY SITE</t>
  </si>
  <si>
    <t xml:space="preserve">ANY SITE  </t>
  </si>
  <si>
    <t xml:space="preserve">  Site Input Raw Data table from the EnPI Model</t>
  </si>
  <si>
    <t>The   and Mount Holly site energy mapping spreadsheets have a tab for this.</t>
  </si>
  <si>
    <t>Feedstocks</t>
  </si>
  <si>
    <t>Diesel fuel</t>
  </si>
  <si>
    <t>UNITS</t>
  </si>
  <si>
    <t>Reference Info</t>
  </si>
  <si>
    <t>Introduction</t>
  </si>
  <si>
    <t>From ISO 50001: 2018 Annex A, section A.6, Planning</t>
  </si>
  <si>
    <t xml:space="preserve">Energy Mapping Process for ANY SITE </t>
  </si>
  <si>
    <t>3A</t>
  </si>
  <si>
    <r>
      <t xml:space="preserve">Energy </t>
    </r>
    <r>
      <rPr>
        <b/>
        <u/>
        <sz val="24"/>
        <color theme="1"/>
        <rFont val="Calibri"/>
        <family val="2"/>
        <scheme val="minor"/>
      </rPr>
      <t xml:space="preserve">CONSUMED </t>
    </r>
    <r>
      <rPr>
        <sz val="24"/>
        <color theme="1"/>
        <rFont val="Calibri"/>
        <family val="2"/>
        <scheme val="minor"/>
      </rPr>
      <t>within the Site Boundaries</t>
    </r>
  </si>
  <si>
    <t>Where does all the energy go?</t>
  </si>
  <si>
    <t>GOAL: Using the input and outputs from Step 1, determine where all the energy goes within the site boundaries</t>
  </si>
  <si>
    <t>METHODS:</t>
  </si>
  <si>
    <t>Main Gas Utility Meter</t>
  </si>
  <si>
    <t>Gas Meter on a Boiler</t>
  </si>
  <si>
    <t>Natural Gas:</t>
  </si>
  <si>
    <t>Therms/DekaTherms/MMBTU</t>
  </si>
  <si>
    <t>Main utility meter</t>
  </si>
  <si>
    <t>CUFT</t>
  </si>
  <si>
    <t>Sub-meters on equipment</t>
  </si>
  <si>
    <t>Typically much lower number of end users</t>
  </si>
  <si>
    <t>Typically well known primary users:</t>
  </si>
  <si>
    <t>Boilers</t>
  </si>
  <si>
    <t>Hot water</t>
  </si>
  <si>
    <t>Process heating</t>
  </si>
  <si>
    <t>The "H" in HVAC</t>
  </si>
  <si>
    <t>Electricity:</t>
  </si>
  <si>
    <t>TOP DOWN:</t>
  </si>
  <si>
    <t>Track the electricity from the utility substation to the end electrical user</t>
  </si>
  <si>
    <t>Electrical utility feeders and substations</t>
  </si>
  <si>
    <t>One-Line Electrical Drawings</t>
  </si>
  <si>
    <t>Motors Control Centers (MCCs)</t>
  </si>
  <si>
    <t>Site one-line electrical diagram for distribution</t>
  </si>
  <si>
    <t>Site substations</t>
  </si>
  <si>
    <t>Distribution panels</t>
  </si>
  <si>
    <t>Arc Flash Studies</t>
  </si>
  <si>
    <t>Motor control centers</t>
  </si>
  <si>
    <t>Busess ducts</t>
  </si>
  <si>
    <t>Breaker Panels</t>
  </si>
  <si>
    <t>Local Disconnects</t>
  </si>
  <si>
    <t>Permanent</t>
  </si>
  <si>
    <t>Temporary</t>
  </si>
  <si>
    <t>Electrical End Uses:</t>
  </si>
  <si>
    <t>LOTS &amp; LOTS</t>
  </si>
  <si>
    <t>Motors, typically the largest</t>
  </si>
  <si>
    <t>Resistance Heating</t>
  </si>
  <si>
    <t>Actuators</t>
  </si>
  <si>
    <t>Controls</t>
  </si>
  <si>
    <t>Plug Loads</t>
  </si>
  <si>
    <t>Permanent Sub-Metering</t>
  </si>
  <si>
    <t>Temporary Sub-Metering</t>
  </si>
  <si>
    <t>Busess Ducts</t>
  </si>
  <si>
    <t>Single Phase Calculation</t>
  </si>
  <si>
    <t>Three Phase Calculation</t>
  </si>
  <si>
    <t>Name plate data</t>
  </si>
  <si>
    <t>BOTTOM UP:</t>
  </si>
  <si>
    <t xml:space="preserve">Motor Nameplate </t>
  </si>
  <si>
    <t xml:space="preserve">Air Compressor Nameplate </t>
  </si>
  <si>
    <t xml:space="preserve">Chiller Nameplate </t>
  </si>
  <si>
    <t>RLA - "Running Load Amps" - current drawn during normal operation of electric motor, typically measured in plant operations</t>
  </si>
  <si>
    <t>FLA - "Full Load Amps" - amount of current drawn when full-load torque and horsepower is reached for the motor, typically determined in a lab environment</t>
  </si>
  <si>
    <t xml:space="preserve">The difference is in the fact that for FLA, you are looking at the rating of the MOTOR itself. </t>
  </si>
  <si>
    <t>For RLA you are looking at  how the motor runs relative to a particular load, e.g. a pump, or a fan, etc.</t>
  </si>
  <si>
    <t>LRA - "Locked Rotor Amps" - current draw when the rotor is locked and not rotating, typically very high and not used for operational calculations</t>
  </si>
  <si>
    <t>Typical EXAMPLE for Electrical</t>
  </si>
  <si>
    <t>Inside</t>
  </si>
  <si>
    <t>To Motors Control Centers and Busess Ducts</t>
  </si>
  <si>
    <t>Busess Duct</t>
  </si>
  <si>
    <t>Utility Substation Transformers</t>
  </si>
  <si>
    <t>480 volt Distribution Center</t>
  </si>
  <si>
    <t>Local Disconnect</t>
  </si>
  <si>
    <t>100 kV to 12, 470 volts</t>
  </si>
  <si>
    <t xml:space="preserve">Three Phase </t>
  </si>
  <si>
    <t>kV =  kilovolts</t>
  </si>
  <si>
    <t>In Plant Step-Down Transformer</t>
  </si>
  <si>
    <t xml:space="preserve">12,470 volts to 480 volts </t>
  </si>
  <si>
    <t>Three Phase</t>
  </si>
  <si>
    <t>Motor Control Center</t>
  </si>
  <si>
    <t>50 hp Motor</t>
  </si>
  <si>
    <t>60,000,000 kWh/year</t>
  </si>
  <si>
    <t>3,000,000 kWh/year</t>
  </si>
  <si>
    <t>Electrical End Use</t>
  </si>
  <si>
    <t>Total Electricity IN</t>
  </si>
  <si>
    <t>20,400,000 kWh/year</t>
  </si>
  <si>
    <t>Distribution Center</t>
  </si>
  <si>
    <t>1,800,000 kWh/year</t>
  </si>
  <si>
    <t>kWh/year</t>
  </si>
  <si>
    <t>Liquid Propane:</t>
  </si>
  <si>
    <t>Gallons</t>
  </si>
  <si>
    <t>Based on:</t>
  </si>
  <si>
    <t>Delivery Tickets</t>
  </si>
  <si>
    <t>6,000 hours per year</t>
  </si>
  <si>
    <t>Monthly Invoices</t>
  </si>
  <si>
    <t>0.94 motor efficiency</t>
  </si>
  <si>
    <t>Submeters on processes</t>
  </si>
  <si>
    <t>1.0 load factor</t>
  </si>
  <si>
    <t>Is some of this pass through?</t>
  </si>
  <si>
    <t>i.e. used to fuel trucks or buses</t>
  </si>
  <si>
    <t>Diesel Fuel:</t>
  </si>
  <si>
    <t>How delivered?</t>
  </si>
  <si>
    <t>Units of delivery</t>
  </si>
  <si>
    <t>Monthly invoices</t>
  </si>
  <si>
    <t>3B</t>
  </si>
  <si>
    <t>SAMPLE ENERGY FLOW BLOCK DIAGRAMS</t>
  </si>
  <si>
    <t>Manufacturing Plant Example: Chiller Production</t>
  </si>
  <si>
    <t>Manufacturing Plant Example: Facility Equipment</t>
  </si>
  <si>
    <t>Process Block Diagram with Energy</t>
  </si>
  <si>
    <t>Chiller System Details, Block Diagram</t>
  </si>
  <si>
    <t>Boilers and Hot Water System Details, Block Diagram</t>
  </si>
  <si>
    <t>KEY</t>
  </si>
  <si>
    <t>IN and OUT</t>
  </si>
  <si>
    <t>Process Step</t>
  </si>
  <si>
    <t>Energy Loads</t>
  </si>
  <si>
    <t>Energy Source</t>
  </si>
  <si>
    <t>Waste Stream</t>
  </si>
  <si>
    <t>Facility System</t>
  </si>
  <si>
    <t>Energy
Source</t>
  </si>
  <si>
    <t>Waste
Stream</t>
  </si>
  <si>
    <t>Facility
System</t>
  </si>
  <si>
    <t>Ambient Air</t>
  </si>
  <si>
    <t>Hot Water Supply</t>
  </si>
  <si>
    <t>Process
Step</t>
  </si>
  <si>
    <t>Hot Water Return</t>
  </si>
  <si>
    <t>City Water</t>
  </si>
  <si>
    <t>Hot Water-Process</t>
  </si>
  <si>
    <t>Test Water</t>
  </si>
  <si>
    <t>Chilled Water Supply</t>
  </si>
  <si>
    <t>Chilled Water Return</t>
  </si>
  <si>
    <t>Tower Water SUP</t>
  </si>
  <si>
    <t>Tower Water RET</t>
  </si>
  <si>
    <t>Combustion Air</t>
  </si>
  <si>
    <t>Feed Water</t>
  </si>
  <si>
    <t>Condensate Return</t>
  </si>
  <si>
    <t>Warm Water to Tower</t>
  </si>
  <si>
    <t>Cool Water
from Tower</t>
  </si>
  <si>
    <t>Hot Liquid</t>
  </si>
  <si>
    <t>Exp Valve</t>
  </si>
  <si>
    <t>Hot Vapor</t>
  </si>
  <si>
    <t>Warm Vapor</t>
  </si>
  <si>
    <t>Cold Liquid</t>
  </si>
  <si>
    <t>Chilled
Water Return</t>
  </si>
  <si>
    <t>Chilled
Water Supply</t>
  </si>
  <si>
    <t>HW Return</t>
  </si>
  <si>
    <t>Hot Water
Control Valve</t>
  </si>
  <si>
    <t>Chilled Water
Control Valve</t>
  </si>
  <si>
    <t>Return Air</t>
  </si>
  <si>
    <t>Supply Air</t>
  </si>
  <si>
    <t>Outside/Relief
Air Dampers</t>
  </si>
  <si>
    <t>3C1</t>
  </si>
  <si>
    <t>Nominal Full Load Efficiencies - EPACT Electric Motors</t>
  </si>
  <si>
    <t>Open Frame</t>
  </si>
  <si>
    <t>Closed Frame</t>
  </si>
  <si>
    <t>2 Pole</t>
  </si>
  <si>
    <t>4 Pole</t>
  </si>
  <si>
    <t>6 Pole</t>
  </si>
  <si>
    <t>8 Pole</t>
  </si>
  <si>
    <t>RPM</t>
  </si>
  <si>
    <t>R</t>
  </si>
  <si>
    <t>S</t>
  </si>
  <si>
    <t>T</t>
  </si>
  <si>
    <t>U</t>
  </si>
  <si>
    <t>N/A</t>
  </si>
  <si>
    <t>If you do not have a motor efficiency, use this table for the motor efficiency values for column "Q" on tab 3C.</t>
  </si>
  <si>
    <t xml:space="preserve">TYPICAL </t>
  </si>
  <si>
    <t>3E</t>
  </si>
  <si>
    <t>Diversity Factor Examples</t>
  </si>
  <si>
    <t>The two examples below demonstrate the diversity factor and how to estimate this.</t>
  </si>
  <si>
    <t>Electric</t>
  </si>
  <si>
    <t>1,000 kwh Electric Oven</t>
  </si>
  <si>
    <t>1,000,000 BTU/HR Natural Gas Oven</t>
  </si>
  <si>
    <t>Operational Temperature:  450 ºF</t>
  </si>
  <si>
    <t>Oven</t>
  </si>
  <si>
    <t>Hour</t>
  </si>
  <si>
    <t>Temp</t>
  </si>
  <si>
    <t>Rate</t>
  </si>
  <si>
    <t>Total kWh</t>
  </si>
  <si>
    <t>Total BTU</t>
  </si>
  <si>
    <t>Average kW</t>
  </si>
  <si>
    <t>Average BTU/hour</t>
  </si>
  <si>
    <t>D.F.</t>
  </si>
  <si>
    <t>7A</t>
  </si>
  <si>
    <t xml:space="preserve">YOUR SITE: </t>
  </si>
  <si>
    <t>REFERENCE INFORMATION</t>
  </si>
  <si>
    <t>Follow on actions REQUIRES for your selected SEUs.</t>
  </si>
  <si>
    <t>Significant Energy Uses (SEUs)</t>
  </si>
  <si>
    <t xml:space="preserve"> UPDATED for ISO 50001: 2018</t>
  </si>
  <si>
    <t>The ISO 50001: 2018 standard requires you to identify SEUs for your plant operations.</t>
  </si>
  <si>
    <t>Once you have designated these SEUs, there are additional requirements for work to be done for each of these SEUs.</t>
  </si>
  <si>
    <t>DEFINITION</t>
  </si>
  <si>
    <r>
      <t xml:space="preserve">3.5.6  </t>
    </r>
    <r>
      <rPr>
        <b/>
        <sz val="11"/>
        <color rgb="FFFF0000"/>
        <rFont val="Calibri"/>
        <family val="2"/>
        <scheme val="minor"/>
      </rPr>
      <t>significant energy use (SEU)</t>
    </r>
  </si>
  <si>
    <t>from the ISO 50001:</t>
  </si>
  <si>
    <t>energy use (3.5.4) accounting for substantial energy consumption (3.5.2) and/or offering considerable potential for energy performance improvement (3.4.6)</t>
  </si>
  <si>
    <t>2018 Standard</t>
  </si>
  <si>
    <t>Item</t>
  </si>
  <si>
    <t>PDCA</t>
  </si>
  <si>
    <t>50001 Ready</t>
  </si>
  <si>
    <t>ISO 50001</t>
  </si>
  <si>
    <t>Step</t>
  </si>
  <si>
    <t>Step(s)</t>
  </si>
  <si>
    <t>Section</t>
  </si>
  <si>
    <t>Direct Text from the ISO 50001: 2018 Standard</t>
  </si>
  <si>
    <t>Comments</t>
  </si>
  <si>
    <t>PLAN</t>
  </si>
  <si>
    <t>6.2 Objectives, energy targets and planning to achieve them</t>
  </si>
  <si>
    <r>
      <t xml:space="preserve">6.2.2 The objectives and energy targets shall:
a)  ….
d)  consider </t>
    </r>
    <r>
      <rPr>
        <b/>
        <sz val="11"/>
        <color rgb="FFFF0000"/>
        <rFont val="Calibri"/>
        <family val="2"/>
        <scheme val="minor"/>
      </rPr>
      <t>SEUs</t>
    </r>
    <r>
      <rPr>
        <sz val="11"/>
        <color theme="1"/>
        <rFont val="Calibri"/>
        <family val="2"/>
        <scheme val="minor"/>
      </rPr>
      <t xml:space="preserve"> (see 6.3)</t>
    </r>
  </si>
  <si>
    <t xml:space="preserve">You must consider and take in to account its SEUs when deciding  and establishing the objectives and energy targets.
It would make sense that some of the objectives and energy targets are specifically aimed at improvements for specific SEUs.  </t>
  </si>
  <si>
    <t>8, 9</t>
  </si>
  <si>
    <t>6.3 Energy review</t>
  </si>
  <si>
    <r>
      <t xml:space="preserve">The organization shall develop and conduct an energy review.
To develop the energy review, the organization shall:
a)  ….
b)  based on the analysis, identify </t>
    </r>
    <r>
      <rPr>
        <b/>
        <sz val="11"/>
        <color rgb="FFFF0000"/>
        <rFont val="Calibri"/>
        <family val="2"/>
        <scheme val="minor"/>
      </rPr>
      <t>SEUs</t>
    </r>
    <r>
      <rPr>
        <sz val="11"/>
        <color theme="1"/>
        <rFont val="Calibri"/>
        <family val="2"/>
        <scheme val="minor"/>
      </rPr>
      <t xml:space="preserve"> (see 3.5.6);
c)  for each </t>
    </r>
    <r>
      <rPr>
        <b/>
        <sz val="11"/>
        <color rgb="FFFF0000"/>
        <rFont val="Calibri"/>
        <family val="2"/>
        <scheme val="minor"/>
      </rPr>
      <t>SEU</t>
    </r>
    <r>
      <rPr>
        <sz val="11"/>
        <color theme="1"/>
        <rFont val="Calibri"/>
        <family val="2"/>
        <scheme val="minor"/>
      </rPr>
      <t xml:space="preserve">:
     1)  determine relevant variables;
     2)  determine current performance;
     3)  identify the person(s) doing work under its control that influence or
          affect the </t>
    </r>
    <r>
      <rPr>
        <b/>
        <sz val="11"/>
        <color rgb="FFFF0000"/>
        <rFont val="Calibri"/>
        <family val="2"/>
        <scheme val="minor"/>
      </rPr>
      <t>SEUs;</t>
    </r>
    <r>
      <rPr>
        <sz val="11"/>
        <color theme="1"/>
        <rFont val="Calibri"/>
        <family val="2"/>
        <scheme val="minor"/>
      </rPr>
      <t xml:space="preserve">
</t>
    </r>
  </si>
  <si>
    <t>The plant energy review and energy balance will help to find the SEUs.  All energy sources must be considered.
SEUs can be facilities, systems, processes, or equipment.
Relevant variables are things like production volume, cooling degree days, heating degrees days, etc.
You must know how much energy your SEUs are consuming down to the equipment level and you must estimate future energy use and consumption for all SEUs.
You must know who is working with your SEUs.</t>
  </si>
  <si>
    <t xml:space="preserve"> 6.6 Planning for collection of energy data</t>
  </si>
  <si>
    <r>
      <t xml:space="preserve">Data to be collected (or acquired by measurement as applicable) and retained documented information (see 7.5) shall include:
a)  the relevant variables for </t>
    </r>
    <r>
      <rPr>
        <b/>
        <sz val="11"/>
        <color rgb="FFFF0000"/>
        <rFont val="Calibri"/>
        <family val="2"/>
        <scheme val="minor"/>
      </rPr>
      <t>SEUs</t>
    </r>
    <r>
      <rPr>
        <sz val="11"/>
        <color theme="1"/>
        <rFont val="Calibri"/>
        <family val="2"/>
        <scheme val="minor"/>
      </rPr>
      <t xml:space="preserve">;
b)  energy consumption related to </t>
    </r>
    <r>
      <rPr>
        <b/>
        <sz val="11"/>
        <color rgb="FFFF0000"/>
        <rFont val="Calibri"/>
        <family val="2"/>
        <scheme val="minor"/>
      </rPr>
      <t>SEUs</t>
    </r>
    <r>
      <rPr>
        <sz val="11"/>
        <color theme="1"/>
        <rFont val="Calibri"/>
        <family val="2"/>
        <scheme val="minor"/>
      </rPr>
      <t xml:space="preserve"> and to the organization;
c)  operational criteria related to </t>
    </r>
    <r>
      <rPr>
        <b/>
        <sz val="11"/>
        <color rgb="FFFF0000"/>
        <rFont val="Calibri"/>
        <family val="2"/>
        <scheme val="minor"/>
      </rPr>
      <t>SEUs</t>
    </r>
    <r>
      <rPr>
        <sz val="11"/>
        <color theme="1"/>
        <rFont val="Calibri"/>
        <family val="2"/>
        <scheme val="minor"/>
      </rPr>
      <t>;</t>
    </r>
  </si>
  <si>
    <t>You must determine relevant variables such as production volume, cooling degree days, heating degrees days, etc.,    for all SEUs.
You must collect and retain consumption data on all SEUs.
You must intergrate your SEUs with you operational and maintenance criteria.</t>
  </si>
  <si>
    <t>DO</t>
  </si>
  <si>
    <t>8.1 Operational planning and control</t>
  </si>
  <si>
    <r>
      <t xml:space="preserve">The organization shall plan, implement and control the processes, related to its </t>
    </r>
    <r>
      <rPr>
        <b/>
        <sz val="11"/>
        <color rgb="FFFF0000"/>
        <rFont val="Calibri"/>
        <family val="2"/>
        <scheme val="minor"/>
      </rPr>
      <t>SEUs</t>
    </r>
    <r>
      <rPr>
        <sz val="11"/>
        <color theme="1"/>
        <rFont val="Calibri"/>
        <family val="2"/>
        <scheme val="minor"/>
      </rPr>
      <t xml:space="preserve"> (see 6.3), needed to meet requirements and to implement the actions determined in 6.2, by:
a)  establishing criteria for the processes, including the effective operation and maintenance of facilities, equipment, systems and energy-using processes, where their absence can lead to a significant deviation from intended energy performance;
b)  communicating (see 7.4) the criteria to relevant person(s) doing work under the control of the organization;
c)  implementing control of the processes in accordance with the criteria, including operating and maintaining facilities, equipment, systems and energy-using processes in accordance with established criteria;
d)  keeping documented information (see 7.5) to the extent necessary to have confidence that the processes have been carried out as planned.
The organization shall control planned changes and review the consequences of unintended changes, taking actions to mitigate any adverse effects, as necessary.
The organization shall ensure that outsourced SEUs or processes related to its </t>
    </r>
    <r>
      <rPr>
        <b/>
        <sz val="11"/>
        <color rgb="FFFF0000"/>
        <rFont val="Calibri"/>
        <family val="2"/>
        <scheme val="minor"/>
      </rPr>
      <t>SEUs</t>
    </r>
    <r>
      <rPr>
        <sz val="11"/>
        <color theme="1"/>
        <rFont val="Calibri"/>
        <family val="2"/>
        <scheme val="minor"/>
      </rPr>
      <t xml:space="preserve"> (see 6.3) are controlled (see 8.3).</t>
    </r>
  </si>
  <si>
    <t>Operational and maintenance controls, activities and criteria are centered around your selected SEUs. 
Absence of these controls could lead to problems with the performance of the SEUs.  This must be monitored and tracked, and records kept. Significant deviations must be defined.
Once the criteria and activities are set up, they must be followed.
You must inform, train, or make aware all relevant person(s)  who carry out these controls on the SEUs.
Documented information must be maintained on the above actions.
The above includes outsourced SEUs and processes related to SEUs.</t>
  </si>
  <si>
    <t>8.3 Procurement</t>
  </si>
  <si>
    <r>
      <t xml:space="preserve">When procuring energy using products, equipment and services that have, or can have, an impact on </t>
    </r>
    <r>
      <rPr>
        <b/>
        <sz val="11"/>
        <color rgb="FFFF0000"/>
        <rFont val="Calibri"/>
        <family val="2"/>
        <scheme val="minor"/>
      </rPr>
      <t>SEUs</t>
    </r>
    <r>
      <rPr>
        <sz val="11"/>
        <color theme="1"/>
        <rFont val="Calibri"/>
        <family val="2"/>
        <scheme val="minor"/>
      </rPr>
      <t>, the organization shall inform suppliers that energy performance is one of the evaluation criteria for procurement.</t>
    </r>
  </si>
  <si>
    <t>You must  inform suppliers that energy performance is part of the procurement evaluation process for anything that is purchased that can have an impact on an SEU.
This can take the form of a letter or an email to selected suppliers. 
Records of this action should be maintained as evidence of completion.</t>
  </si>
  <si>
    <t>20, 21</t>
  </si>
  <si>
    <t>9.1 Monitoring, measurement, analysis and evaluation of energy performance and the EnMS</t>
  </si>
  <si>
    <r>
      <t xml:space="preserve">9.1.1 General
The organization shall determine for energy performance and the EnMS:
a)  what needs to be monitored and measured, including at a minimum the following key characteristics:
     1)
     2)
     3)  operation of </t>
    </r>
    <r>
      <rPr>
        <b/>
        <sz val="11"/>
        <color rgb="FFFF0000"/>
        <rFont val="Calibri"/>
        <family val="2"/>
        <scheme val="minor"/>
      </rPr>
      <t>SEUs</t>
    </r>
    <r>
      <rPr>
        <sz val="11"/>
        <color theme="1"/>
        <rFont val="Calibri"/>
        <family val="2"/>
        <scheme val="minor"/>
      </rPr>
      <t xml:space="preserve">;
     4)  
</t>
    </r>
  </si>
  <si>
    <t>The operation of SEUs must be part of the overall monitoring plan for the organization.
The methods for monitoring, measuring, analyzing and evaluating data related to SEUs must be determined.
When monitoring and measurement of data related to SEUs occurs must be determined.
When analysis and evaluation of data related to SEUs occurs must be determined.
Results of the above actions must be part of the organization's documented information.</t>
  </si>
  <si>
    <t>Energy Improvement Project Evaluation</t>
  </si>
  <si>
    <t>TASK 10</t>
  </si>
  <si>
    <t>The organization shall develop and conduct an energy review.</t>
  </si>
  <si>
    <t>List and Rank Energy Improvement Projects based on SEUs and other factors</t>
  </si>
  <si>
    <t>To develop the energy review, the organization shall:</t>
  </si>
  <si>
    <t>Use SEU pie chart  and other inputs for generating ideas for energy improvements</t>
  </si>
  <si>
    <t>a), b), c), …..</t>
  </si>
  <si>
    <r>
      <t xml:space="preserve">d) determine and prioritize </t>
    </r>
    <r>
      <rPr>
        <b/>
        <u/>
        <sz val="11"/>
        <color theme="1"/>
        <rFont val="Calibri"/>
        <family val="2"/>
        <scheme val="minor"/>
      </rPr>
      <t>opportunities</t>
    </r>
    <r>
      <rPr>
        <sz val="11"/>
        <color theme="1"/>
        <rFont val="Calibri"/>
        <family val="2"/>
        <scheme val="minor"/>
      </rPr>
      <t xml:space="preserve"> for improving energy performance;</t>
    </r>
  </si>
  <si>
    <r>
      <t>EVALUATION CRITERIA and SCORING</t>
    </r>
    <r>
      <rPr>
        <b/>
        <sz val="14"/>
        <color rgb="FFFF0000"/>
        <rFont val="Calibri"/>
        <family val="2"/>
        <scheme val="minor"/>
      </rPr>
      <t xml:space="preserve"> (5 = BEST)</t>
    </r>
  </si>
  <si>
    <t>Criteria Scoring Details BELOW**</t>
  </si>
  <si>
    <t>Pull Down Menu</t>
  </si>
  <si>
    <t>FOLLOW UP</t>
  </si>
  <si>
    <t>Project ID#</t>
  </si>
  <si>
    <t>Performance Improvement
Opportunity Name</t>
  </si>
  <si>
    <t>Performance Improvement
Opportunity Description</t>
  </si>
  <si>
    <t>Related to a Significant Energy User (SEU)? Which One?</t>
  </si>
  <si>
    <r>
      <t xml:space="preserve">Part of Energy Target (Enter Name) - </t>
    </r>
    <r>
      <rPr>
        <b/>
        <i/>
        <sz val="12"/>
        <color theme="1"/>
        <rFont val="Calibri"/>
        <family val="2"/>
        <scheme val="minor"/>
      </rPr>
      <t>Optional</t>
    </r>
  </si>
  <si>
    <t>Responsible Lead Person (Name)</t>
  </si>
  <si>
    <t>Date Entered</t>
  </si>
  <si>
    <r>
      <t xml:space="preserve">Estimated Annual Savings
</t>
    </r>
    <r>
      <rPr>
        <b/>
        <sz val="14"/>
        <color theme="1"/>
        <rFont val="Calibri"/>
        <family val="2"/>
        <scheme val="minor"/>
      </rPr>
      <t>(should have back up calculation available)</t>
    </r>
  </si>
  <si>
    <t>Non-Energy Benefits
(list name and estimated value, if known)</t>
  </si>
  <si>
    <t>Estimated
Project Cost</t>
  </si>
  <si>
    <t>1. Project COST</t>
  </si>
  <si>
    <t>2. Simple Payback</t>
  </si>
  <si>
    <t>3. Implementation Time</t>
  </si>
  <si>
    <t>4. Non-Energy Benefits</t>
  </si>
  <si>
    <t>5. Plant Employee Impact</t>
  </si>
  <si>
    <t>6. Add OTHER</t>
  </si>
  <si>
    <t>7. Add OTHER</t>
  </si>
  <si>
    <t>8. Add OTHER</t>
  </si>
  <si>
    <t>Opportunity Score (multiply)</t>
  </si>
  <si>
    <t>Prioritization Level</t>
  </si>
  <si>
    <t>Implementation Status</t>
  </si>
  <si>
    <t>Project Completion
Date</t>
  </si>
  <si>
    <t>Actual Annual Savings</t>
  </si>
  <si>
    <t>Actual Non-Energy Benefits Realized</t>
  </si>
  <si>
    <t>Actual Implementation Cost</t>
  </si>
  <si>
    <t>Electricity
(kWh)</t>
  </si>
  <si>
    <t>Natural Gas (therms)</t>
  </si>
  <si>
    <t>Liquid Propane (gallons)</t>
  </si>
  <si>
    <t>Diesel Fuel (gallons)</t>
  </si>
  <si>
    <t>Other Fuel Oils (gallons)</t>
  </si>
  <si>
    <t xml:space="preserve">Other </t>
  </si>
  <si>
    <t>Lower = 5
Higher = 1</t>
  </si>
  <si>
    <t>Shorter = 5
Longer = 1</t>
  </si>
  <si>
    <t>More = 5
Less = 1</t>
  </si>
  <si>
    <t>Higher = 5
Lower = 1</t>
  </si>
  <si>
    <t>Best= 5
Worst= 1</t>
  </si>
  <si>
    <t>EXAMPLE</t>
  </si>
  <si>
    <t>EEM# 29</t>
  </si>
  <si>
    <t>Chilled Water Pump VFDs</t>
  </si>
  <si>
    <t>Add VFDs and controls to the chilled water primary supply pump motors, eight motors at 50 hp each</t>
  </si>
  <si>
    <t>YES, Chillers</t>
  </si>
  <si>
    <t>Improve Overall HVAC Energy Consumption</t>
  </si>
  <si>
    <t>M. Stowe</t>
  </si>
  <si>
    <t>Reduce chiller condenser water make up by ~ 15%</t>
  </si>
  <si>
    <t>Improve consistency of plant air temperature and humidity</t>
  </si>
  <si>
    <t>x</t>
  </si>
  <si>
    <t>High</t>
  </si>
  <si>
    <t>Completed</t>
  </si>
  <si>
    <t>TBD</t>
  </si>
  <si>
    <r>
      <t xml:space="preserve">Reduced chiller condenser water make up by </t>
    </r>
    <r>
      <rPr>
        <b/>
        <sz val="10"/>
        <color theme="1"/>
        <rFont val="Calibri"/>
        <family val="2"/>
        <scheme val="minor"/>
      </rPr>
      <t>~ 18%</t>
    </r>
  </si>
  <si>
    <t>Improved consistency of plant air temperature and humidity</t>
  </si>
  <si>
    <t>**Scoring Criteria Details</t>
  </si>
  <si>
    <t>1. Project COST ($)</t>
  </si>
  <si>
    <t>Empolyee Impact Definitions</t>
  </si>
  <si>
    <t>$5,000 or less</t>
  </si>
  <si>
    <t>Significant</t>
  </si>
  <si>
    <t>Good</t>
  </si>
  <si>
    <t>Some</t>
  </si>
  <si>
    <t xml:space="preserve">Limited </t>
  </si>
  <si>
    <t>No Impact</t>
  </si>
  <si>
    <t>&gt; $5,000 up to $50,000</t>
  </si>
  <si>
    <t>Employees have a direct and substantial impact on the successful implementation of the energy project</t>
  </si>
  <si>
    <t>Employees still have a direct, but less substantial impact on the successful implementation of the energy project</t>
  </si>
  <si>
    <t>Employees still have some, but a much less substantial impact on the successful implementation of the energy project</t>
  </si>
  <si>
    <t>Employees have limited impact on energy project success because the new system is mostly automated and needs very little human interface</t>
  </si>
  <si>
    <t>The energy project deploys a fully automated systems with very little to no human interface.</t>
  </si>
  <si>
    <t>&gt; $50,000 up to $500,000</t>
  </si>
  <si>
    <t>&gt; $500,000 up to $1,000000</t>
  </si>
  <si>
    <t>&gt; $1,000,000</t>
  </si>
  <si>
    <t xml:space="preserve">No impact </t>
  </si>
  <si>
    <t>2. Simple Payback (years)</t>
  </si>
  <si>
    <r>
      <rPr>
        <u/>
        <sz val="9"/>
        <color theme="1"/>
        <rFont val="Calibri"/>
        <family val="2"/>
        <scheme val="minor"/>
      </rPr>
      <t>Project EXAMPLES</t>
    </r>
    <r>
      <rPr>
        <sz val="9"/>
        <color theme="1"/>
        <rFont val="Calibri"/>
        <family val="2"/>
        <scheme val="minor"/>
      </rPr>
      <t>:
Compressed air leak repair
Equipment start up and shut down optimization
Behaviorial based projects like turning off lights and computers</t>
    </r>
  </si>
  <si>
    <r>
      <rPr>
        <u/>
        <sz val="9"/>
        <color theme="1"/>
        <rFont val="Calibri"/>
        <family val="2"/>
        <scheme val="minor"/>
      </rPr>
      <t>Project EXAMPLES</t>
    </r>
    <r>
      <rPr>
        <sz val="9"/>
        <color theme="1"/>
        <rFont val="Calibri"/>
        <family val="2"/>
        <scheme val="minor"/>
      </rPr>
      <t xml:space="preserve">:
Installing an automated control system where employees still have a good amount of input 
Implementing condenser water reset for chillers </t>
    </r>
  </si>
  <si>
    <r>
      <rPr>
        <u/>
        <sz val="9"/>
        <color theme="1"/>
        <rFont val="Calibri"/>
        <family val="2"/>
        <scheme val="minor"/>
      </rPr>
      <t>Project EXAMPLES</t>
    </r>
    <r>
      <rPr>
        <sz val="9"/>
        <color theme="1"/>
        <rFont val="Calibri"/>
        <family val="2"/>
        <scheme val="minor"/>
      </rPr>
      <t xml:space="preserve">:
Installing VFDs on pump and fan motors that will general operate automatically, but still require set up, system operation, and periodic adjustments by technicians </t>
    </r>
  </si>
  <si>
    <r>
      <rPr>
        <u/>
        <sz val="9"/>
        <color theme="1"/>
        <rFont val="Calibri"/>
        <family val="2"/>
        <scheme val="minor"/>
      </rPr>
      <t>Project EXAMPLES</t>
    </r>
    <r>
      <rPr>
        <sz val="9"/>
        <color theme="1"/>
        <rFont val="Calibri"/>
        <family val="2"/>
        <scheme val="minor"/>
      </rPr>
      <t xml:space="preserve">:
Installing a VFD air compressor that automatically starts and loads up and down based on plant air pressure </t>
    </r>
  </si>
  <si>
    <r>
      <rPr>
        <u/>
        <sz val="9"/>
        <color theme="1"/>
        <rFont val="Calibri"/>
        <family val="2"/>
        <scheme val="minor"/>
      </rPr>
      <t>Project EXAMPLES</t>
    </r>
    <r>
      <rPr>
        <sz val="9"/>
        <color theme="1"/>
        <rFont val="Calibri"/>
        <family val="2"/>
        <scheme val="minor"/>
      </rPr>
      <t xml:space="preserve">:
Installing a fully automated building control system that, once set up, pretty much runs on its own </t>
    </r>
  </si>
  <si>
    <t>2 years or less</t>
  </si>
  <si>
    <t>&gt; 2 up to 3 years</t>
  </si>
  <si>
    <t>&gt; 3 up to 4 years</t>
  </si>
  <si>
    <t>&gt; 4 up to 5 years</t>
  </si>
  <si>
    <t>&gt; 5 years</t>
  </si>
  <si>
    <t>3. Implementation Time (years)</t>
  </si>
  <si>
    <t>6 months or less</t>
  </si>
  <si>
    <t>Add Others</t>
  </si>
  <si>
    <t>&gt; 6 month up to 1 year</t>
  </si>
  <si>
    <t>&gt; 1 year up to 3 years</t>
  </si>
  <si>
    <t>&gt; 3 years up to 5 years</t>
  </si>
  <si>
    <t>From the list below:</t>
  </si>
  <si>
    <t>&gt;  4</t>
  </si>
  <si>
    <t>Up to 4</t>
  </si>
  <si>
    <t>Up to 3</t>
  </si>
  <si>
    <t>Up to 2</t>
  </si>
  <si>
    <t>NONE</t>
  </si>
  <si>
    <t>NON-Energy Benfits List</t>
  </si>
  <si>
    <t>Productivity improvements</t>
  </si>
  <si>
    <t>Quality improvements</t>
  </si>
  <si>
    <t>Ergonomic improvements</t>
  </si>
  <si>
    <t>Better material flow</t>
  </si>
  <si>
    <t>Labor savings</t>
  </si>
  <si>
    <t>Scrap reduction</t>
  </si>
  <si>
    <t>Reduce overtime</t>
  </si>
  <si>
    <t>Water use reduction</t>
  </si>
  <si>
    <t>Waste reduction</t>
  </si>
  <si>
    <t>Emissions reduction</t>
  </si>
  <si>
    <t>Pollution reduction</t>
  </si>
  <si>
    <t>Permitting requirements reduced</t>
  </si>
  <si>
    <t>Employee work condition improvements</t>
  </si>
  <si>
    <t>Operational safety improvements</t>
  </si>
  <si>
    <t>Better floor space utilization</t>
  </si>
  <si>
    <t>Carbon footprint reduction</t>
  </si>
  <si>
    <t>Greenhouse gas reduction</t>
  </si>
  <si>
    <t>Public relations improved</t>
  </si>
  <si>
    <t>Brand enhancement</t>
  </si>
  <si>
    <t>Please add more, as needed</t>
  </si>
  <si>
    <t xml:space="preserve">YOUR SITE:   </t>
  </si>
  <si>
    <t>TASK 13</t>
  </si>
  <si>
    <r>
      <t xml:space="preserve">6.2.3 When planning how to achieve its objectives and energy targets, the organization shall establish and maintain </t>
    </r>
    <r>
      <rPr>
        <b/>
        <u/>
        <sz val="11"/>
        <color theme="1"/>
        <rFont val="Calibri"/>
        <family val="2"/>
        <scheme val="minor"/>
      </rPr>
      <t>action plans</t>
    </r>
    <r>
      <rPr>
        <sz val="11"/>
        <color theme="1"/>
        <rFont val="Calibri"/>
        <family val="2"/>
        <scheme val="minor"/>
      </rPr>
      <t xml:space="preserve"> that include:</t>
    </r>
  </si>
  <si>
    <t xml:space="preserve">Energy Mapping Process for YOUR SITE </t>
  </si>
  <si>
    <t>— what will be done;</t>
  </si>
  <si>
    <t>Use the template below to develop action plans for energy improvement projects from Tab 8.</t>
  </si>
  <si>
    <t>— what resources will be required;</t>
  </si>
  <si>
    <t>— who will be responsible;</t>
  </si>
  <si>
    <t>— when it will be completed;</t>
  </si>
  <si>
    <t>— how the results will be evaluated, including the method(s) used to verify energy performance improvement (see 9.1).</t>
  </si>
  <si>
    <t>Energy Management Action Plan Template (print out, fill out, and retain)</t>
  </si>
  <si>
    <r>
      <t xml:space="preserve">The organization shall consider how the actions to achieve its objectives and energy targets can be integrated into the organization’s business processes. The organization shall retain documented information on </t>
    </r>
    <r>
      <rPr>
        <b/>
        <u/>
        <sz val="11"/>
        <color theme="1"/>
        <rFont val="Calibri"/>
        <family val="2"/>
        <scheme val="minor"/>
      </rPr>
      <t>action plans</t>
    </r>
    <r>
      <rPr>
        <sz val="11"/>
        <color theme="1"/>
        <rFont val="Calibri"/>
        <family val="2"/>
        <scheme val="minor"/>
      </rPr>
      <t xml:space="preserve"> (see 7.5).</t>
    </r>
  </si>
  <si>
    <t>Project Objective/Target:</t>
  </si>
  <si>
    <t>Planned Completion Date:</t>
  </si>
  <si>
    <t>Actual Completion Date:</t>
  </si>
  <si>
    <t>Project Description:</t>
  </si>
  <si>
    <r>
      <t>Project Budget:</t>
    </r>
    <r>
      <rPr>
        <sz val="10"/>
        <color theme="1"/>
        <rFont val="Calibri"/>
        <family val="2"/>
        <scheme val="minor"/>
      </rPr>
      <t xml:space="preserve">  </t>
    </r>
  </si>
  <si>
    <r>
      <t>Project Leader:</t>
    </r>
    <r>
      <rPr>
        <sz val="10"/>
        <color theme="1"/>
        <rFont val="Arial"/>
        <family val="2"/>
      </rPr>
      <t xml:space="preserve">  </t>
    </r>
  </si>
  <si>
    <r>
      <t>Actual Cost:</t>
    </r>
    <r>
      <rPr>
        <sz val="10"/>
        <color theme="1"/>
        <rFont val="Calibri"/>
        <family val="2"/>
        <scheme val="minor"/>
      </rPr>
      <t xml:space="preserve">  </t>
    </r>
  </si>
  <si>
    <t xml:space="preserve">Management Review: </t>
  </si>
  <si>
    <t>Project Planning</t>
  </si>
  <si>
    <t>Action Items</t>
  </si>
  <si>
    <t>Leader Position</t>
  </si>
  <si>
    <t>Due Date</t>
  </si>
  <si>
    <t>Completion Date</t>
  </si>
  <si>
    <t>Required Resources/Comments</t>
  </si>
  <si>
    <t>Project Results Verification</t>
  </si>
  <si>
    <t>Describe the method(s) to be used to verify the results of the action plan and the energy performance improvement achieved:</t>
  </si>
  <si>
    <t>Unit(s) of Measurement</t>
  </si>
  <si>
    <t>Pre-Project Value</t>
  </si>
  <si>
    <t>Post Project Value</t>
  </si>
  <si>
    <t>Net Change</t>
  </si>
  <si>
    <t>Source of Measurement</t>
  </si>
  <si>
    <t>Date
Done</t>
  </si>
  <si>
    <t>Responsible Party</t>
  </si>
  <si>
    <t>(e.g. meter ID, calculation formula, etc.)</t>
  </si>
  <si>
    <r>
      <t>Evaluation of Results:</t>
    </r>
    <r>
      <rPr>
        <sz val="10"/>
        <color theme="1"/>
        <rFont val="Arial"/>
        <family val="2"/>
      </rPr>
      <t xml:space="preserve"> </t>
    </r>
  </si>
  <si>
    <r>
      <t>Communication/Training Plan:</t>
    </r>
    <r>
      <rPr>
        <sz val="10"/>
        <color rgb="FF000000"/>
        <rFont val="Arial"/>
        <family val="2"/>
      </rPr>
      <t xml:space="preserve"> Identify departments affected by the project. 
1)  Mark the first column for departments involved with/affected with the project </t>
    </r>
    <r>
      <rPr>
        <u/>
        <sz val="10"/>
        <color rgb="FF000000"/>
        <rFont val="Arial"/>
        <family val="2"/>
      </rPr>
      <t>implementation</t>
    </r>
    <r>
      <rPr>
        <sz val="10"/>
        <color rgb="FF000000"/>
        <rFont val="Arial"/>
        <family val="2"/>
      </rPr>
      <t xml:space="preserve"> with a capital "</t>
    </r>
    <r>
      <rPr>
        <b/>
        <sz val="10"/>
        <color rgb="FF000000"/>
        <rFont val="Georgia"/>
        <family val="1"/>
      </rPr>
      <t>I</t>
    </r>
    <r>
      <rPr>
        <sz val="10"/>
        <color rgb="FF000000"/>
        <rFont val="Arial"/>
        <family val="2"/>
      </rPr>
      <t xml:space="preserve">"
2)  Mark the second column for departments involved with/affected by </t>
    </r>
    <r>
      <rPr>
        <u/>
        <sz val="10"/>
        <color rgb="FF000000"/>
        <rFont val="Arial"/>
        <family val="2"/>
      </rPr>
      <t>sustaining</t>
    </r>
    <r>
      <rPr>
        <sz val="10"/>
        <color rgb="FF000000"/>
        <rFont val="Arial"/>
        <family val="2"/>
      </rPr>
      <t xml:space="preserve"> the project improvements with a capital "</t>
    </r>
    <r>
      <rPr>
        <b/>
        <sz val="10"/>
        <color rgb="FF000000"/>
        <rFont val="Georgia"/>
        <family val="1"/>
      </rPr>
      <t>S</t>
    </r>
    <r>
      <rPr>
        <sz val="10"/>
        <color rgb="FF000000"/>
        <rFont val="Arial"/>
        <family val="2"/>
      </rPr>
      <t>"</t>
    </r>
  </si>
  <si>
    <t>All Departments</t>
  </si>
  <si>
    <t>Production</t>
  </si>
  <si>
    <t>Lab</t>
  </si>
  <si>
    <t>Sales/Marketing</t>
  </si>
  <si>
    <t>Maintenance</t>
  </si>
  <si>
    <t>Purchasing</t>
  </si>
  <si>
    <t>Accounting</t>
  </si>
  <si>
    <t>Transportation</t>
  </si>
  <si>
    <t>Bldg./Facility Ops &amp; Mgt</t>
  </si>
  <si>
    <t>Human Resources</t>
  </si>
  <si>
    <t>Warehouse</t>
  </si>
  <si>
    <t>Corporate</t>
  </si>
  <si>
    <t>Customer Service</t>
  </si>
  <si>
    <t>Custodial/Housekeeping</t>
  </si>
  <si>
    <t>Contractors</t>
  </si>
  <si>
    <t>Sustaining the project improvements</t>
  </si>
  <si>
    <t xml:space="preserve">Document the details for each responsibility necessary to sustain the energy savings achieved by the project’s implementation. </t>
  </si>
  <si>
    <t>What needs to be done?, i.e. tasks/assignments for this item</t>
  </si>
  <si>
    <t>Roles</t>
  </si>
  <si>
    <t>Resources</t>
  </si>
  <si>
    <t>Communication</t>
  </si>
  <si>
    <t>Oper. Controls</t>
  </si>
  <si>
    <t>Monitoring &amp; Measurement</t>
  </si>
  <si>
    <t>Process Changes</t>
  </si>
  <si>
    <t>Project Follow-up Notes/Lessons Learned</t>
  </si>
  <si>
    <t>Operation Controls Planning Template</t>
  </si>
  <si>
    <t>The organization shall plan, implement and control the processes, related to its SEUs, needed to meet requirements, and to implement the action plans by:</t>
  </si>
  <si>
    <t>a) establishing criteria for the processes, including the effective operation and maintenance of facilities, equipment, systems and energy-using processes, where their absence can lead to a significant deviation from intended energy performance;</t>
  </si>
  <si>
    <t>NOTE:  Significant deviation criteria are determined by the organization.</t>
  </si>
  <si>
    <t>b) communicating the criteria to relevant person(s) doing work under the control of the organization;</t>
  </si>
  <si>
    <t>c) implementing control of the processes in accordance with the criteria, including operating and maintaining facilities, equipment, systems and energy-using processes in accordance with established criteria;</t>
  </si>
  <si>
    <t>d) keeping documented information (see 7.5) to the extent necessary to have confidence that the processes have been carried out as planned.</t>
  </si>
  <si>
    <t>The organization shall control planned changes and review the consequences of unintended changes, taking actions to mitigate any adverse effects, as necessary.</t>
  </si>
  <si>
    <t>The organization shall ensure that outsourced SEUs or processes related to its SEUs are controlled (see 8.3).</t>
  </si>
  <si>
    <t>YOUR SITE  Operational &amp; Maintenance Controls Planning Worksheet</t>
  </si>
  <si>
    <r>
      <rPr>
        <b/>
        <u/>
        <sz val="11"/>
        <color theme="1"/>
        <rFont val="Calibri"/>
        <family val="2"/>
        <scheme val="minor"/>
      </rPr>
      <t>NOTE:</t>
    </r>
    <r>
      <rPr>
        <sz val="11"/>
        <color theme="1"/>
        <rFont val="Calibri"/>
        <family val="2"/>
        <scheme val="minor"/>
      </rPr>
      <t xml:space="preserve">   Once the Operational controls and maintenance criteria are identified, they must be communicated to the appropriate personnel and implemented</t>
    </r>
  </si>
  <si>
    <t>USE for both SEUs and/or Action Plans (APs)</t>
  </si>
  <si>
    <t>UCL = Upper Control Limit</t>
  </si>
  <si>
    <t>Focus on biggest energy</t>
  </si>
  <si>
    <t>SEU or AP #</t>
  </si>
  <si>
    <t>Short Name</t>
  </si>
  <si>
    <t>LCL = Lower Control Limit</t>
  </si>
  <si>
    <t>consumers FIRST</t>
  </si>
  <si>
    <t>SEU #1</t>
  </si>
  <si>
    <t>COOLING</t>
  </si>
  <si>
    <t>Associated with this SEU</t>
  </si>
  <si>
    <t>Energy Types Consumed by this SEU</t>
  </si>
  <si>
    <t>BRAINSTORM Operational Controls</t>
  </si>
  <si>
    <t>Identify Additional Information for Selected Parameters</t>
  </si>
  <si>
    <t>Parameter Monitoring</t>
  </si>
  <si>
    <t>Identify Maintenance Criteria</t>
  </si>
  <si>
    <t>Communicate to the Appropriate  Personnel</t>
  </si>
  <si>
    <t>Implement the Selected Operational Controls and Maintenance Criteria</t>
  </si>
  <si>
    <t>Process for Managing Changes</t>
  </si>
  <si>
    <t>Full Description</t>
  </si>
  <si>
    <t>Facilities</t>
  </si>
  <si>
    <t>Processes</t>
  </si>
  <si>
    <t>Systems</t>
  </si>
  <si>
    <t>Equipment</t>
  </si>
  <si>
    <t>Parameter</t>
  </si>
  <si>
    <t>Instrument</t>
  </si>
  <si>
    <t>Calibration Required?</t>
  </si>
  <si>
    <t>Units</t>
  </si>
  <si>
    <t>Value</t>
  </si>
  <si>
    <t>UCL</t>
  </si>
  <si>
    <t>LCL</t>
  </si>
  <si>
    <t>Energy Impact Trend</t>
  </si>
  <si>
    <t>WHO?</t>
  </si>
  <si>
    <t>WHAT?</t>
  </si>
  <si>
    <t>WHERE?</t>
  </si>
  <si>
    <t>WHEN?</t>
  </si>
  <si>
    <t>HOW?</t>
  </si>
  <si>
    <t>Action for Data</t>
  </si>
  <si>
    <t>Describe the maintenance system for the SEU system including who, what, where, when, and how:</t>
  </si>
  <si>
    <t>Role</t>
  </si>
  <si>
    <t>Group</t>
  </si>
  <si>
    <t>Methods (mark all used)</t>
  </si>
  <si>
    <t>Decide on Implementation Tools</t>
  </si>
  <si>
    <t>Implementation Tools (mark all used)</t>
  </si>
  <si>
    <t>Building Cooling</t>
  </si>
  <si>
    <t>Central Energy Plants</t>
  </si>
  <si>
    <t>Vapor compression</t>
  </si>
  <si>
    <t>Chillers-Water cooled</t>
  </si>
  <si>
    <t>What system parameters can impact the energy consumption of this SEU/Action Plan? (list)</t>
  </si>
  <si>
    <t>Chilled water return  temperature</t>
  </si>
  <si>
    <t>Temperature Gauge</t>
  </si>
  <si>
    <t>◦F</t>
  </si>
  <si>
    <t>Higher indicates more cooling load</t>
  </si>
  <si>
    <t>DPW O&amp;M Techs</t>
  </si>
  <si>
    <t>Temperatures</t>
  </si>
  <si>
    <t>Temperatures: Hourly</t>
  </si>
  <si>
    <t>Log sheets</t>
  </si>
  <si>
    <t>Send log sheets and data downloads to the Energy Team Leader at DPW.
The Energy Team Leader and REMs will review and  analyze the data, and give feedback on any action needed to the O&amp;M teams.</t>
  </si>
  <si>
    <r>
      <t xml:space="preserve">All equipment related to the COOLING SEU is properly maintained per manufacturer's recommendations using the XYZ Maintenance Management System. PM work orders are issued based on the periodicity of the PM item and PMs are then scheduled and completed. Records of completed PMs are maintained by DPW.
</t>
    </r>
    <r>
      <rPr>
        <sz val="11"/>
        <color rgb="FFFF0000"/>
        <rFont val="Calibri"/>
        <family val="2"/>
        <scheme val="minor"/>
      </rPr>
      <t>....AND SO ON...</t>
    </r>
    <r>
      <rPr>
        <sz val="11"/>
        <color theme="1"/>
        <rFont val="Calibri"/>
        <family val="2"/>
        <scheme val="minor"/>
      </rPr>
      <t xml:space="preserve">
</t>
    </r>
  </si>
  <si>
    <t>Equipment Operators</t>
  </si>
  <si>
    <t>DPW</t>
  </si>
  <si>
    <t>Shift or toolbox meetings</t>
  </si>
  <si>
    <t>1) For each selected implementation tool:</t>
  </si>
  <si>
    <r>
      <rPr>
        <sz val="7"/>
        <color rgb="FF000000"/>
        <rFont val="Times New Roman"/>
        <family val="1"/>
      </rPr>
      <t xml:space="preserve"> </t>
    </r>
    <r>
      <rPr>
        <sz val="10"/>
        <color rgb="FF000000"/>
        <rFont val="Arial"/>
        <family val="2"/>
      </rPr>
      <t>Work instructions</t>
    </r>
  </si>
  <si>
    <t>1) BRAINSTORM with the Team:</t>
  </si>
  <si>
    <t>Equipment Cooling</t>
  </si>
  <si>
    <t>Individual Buildings</t>
  </si>
  <si>
    <t>Thermodynamics</t>
  </si>
  <si>
    <t>Chiller Compressors</t>
  </si>
  <si>
    <t>Chiller sequencing program</t>
  </si>
  <si>
    <t>Chilled water supply  temperature</t>
  </si>
  <si>
    <t>Lower takes more energy to create</t>
  </si>
  <si>
    <t>Honeywell Operators</t>
  </si>
  <si>
    <t>T-Stat Setpoints</t>
  </si>
  <si>
    <t>T-Stat Setpoints:</t>
  </si>
  <si>
    <t>Building automation sys.</t>
  </si>
  <si>
    <t>Honeywell</t>
  </si>
  <si>
    <t>Demonstrations</t>
  </si>
  <si>
    <t>a) Create the tool, if needed</t>
  </si>
  <si>
    <t>Standard Operating Procedures (SOPs)</t>
  </si>
  <si>
    <t>a) What unplanned changes could occur to impact this SEU energy performance:</t>
  </si>
  <si>
    <t>Pumping</t>
  </si>
  <si>
    <t>Chilled Water Pumps</t>
  </si>
  <si>
    <t>Chilled water supply temperature</t>
  </si>
  <si>
    <t>Building automation setpoints</t>
  </si>
  <si>
    <t>Condenser water supply temperature</t>
  </si>
  <si>
    <t>Cooler makes the chiller more efficient</t>
  </si>
  <si>
    <t>Facility Managers</t>
  </si>
  <si>
    <t>Commands</t>
  </si>
  <si>
    <t>Periodically (TBD)</t>
  </si>
  <si>
    <t>JCI</t>
  </si>
  <si>
    <t>E-mails</t>
  </si>
  <si>
    <t>b) Include the tool in document control, as needed</t>
  </si>
  <si>
    <t>Examples:</t>
  </si>
  <si>
    <t>(Ventilation)</t>
  </si>
  <si>
    <t>Condenser Water Pumps</t>
  </si>
  <si>
    <t>Air handling unit outside air dampers</t>
  </si>
  <si>
    <t>Thermostat settings</t>
  </si>
  <si>
    <t>Variety of Thermostats</t>
  </si>
  <si>
    <t>n/a</t>
  </si>
  <si>
    <t>Lower setting will require more cooling</t>
  </si>
  <si>
    <t>Building Energy Managers</t>
  </si>
  <si>
    <t>Barracks</t>
  </si>
  <si>
    <t>Staff meetings</t>
  </si>
  <si>
    <t>c) Train personnel on how to use the tool</t>
  </si>
  <si>
    <t>Logbooks</t>
  </si>
  <si>
    <t>Random people adjusting thermostats</t>
  </si>
  <si>
    <t>Commissaries</t>
  </si>
  <si>
    <t>(Air Conditioning)</t>
  </si>
  <si>
    <t>Cooling Towers</t>
  </si>
  <si>
    <t>Chiller loading / unloading (i.e. cycling)</t>
  </si>
  <si>
    <t>etc.</t>
  </si>
  <si>
    <t>24 x 7</t>
  </si>
  <si>
    <t>Maintenance Technicians</t>
  </si>
  <si>
    <t>Equipment markings</t>
  </si>
  <si>
    <t>d) Start using the tool</t>
  </si>
  <si>
    <t>Checklist</t>
  </si>
  <si>
    <t>Setpoints on equipment changed without approval</t>
  </si>
  <si>
    <t>Humidity Control</t>
  </si>
  <si>
    <t>Cooling Tower Fans</t>
  </si>
  <si>
    <t>Control valve positions</t>
  </si>
  <si>
    <t>Heating and cooling at the same time</t>
  </si>
  <si>
    <t>OTHERS?</t>
  </si>
  <si>
    <t xml:space="preserve">Others </t>
  </si>
  <si>
    <t>Supplier meetings</t>
  </si>
  <si>
    <t>e) Collect data from the tool</t>
  </si>
  <si>
    <t>Work area postings</t>
  </si>
  <si>
    <t>Some function bypassed</t>
  </si>
  <si>
    <t>Chillers-Air cooled</t>
  </si>
  <si>
    <t>VFD settings</t>
  </si>
  <si>
    <t>Contractor briefings</t>
  </si>
  <si>
    <t>f) Follow up to make sure the tool is effective</t>
  </si>
  <si>
    <t>Signs and labeling</t>
  </si>
  <si>
    <t>b) How can these be avoided</t>
  </si>
  <si>
    <t>VFD setting changed</t>
  </si>
  <si>
    <t>Instrumentation</t>
  </si>
  <si>
    <t>Other pumps</t>
  </si>
  <si>
    <t>Which of these parameters can be readily monitored, measured, and controlled? (list)</t>
  </si>
  <si>
    <t>On-the-job training</t>
  </si>
  <si>
    <t>g) Follow up to make sure the tool is being used properly</t>
  </si>
  <si>
    <t>Specific personnel certifications</t>
  </si>
  <si>
    <t>Not completing a required PM item</t>
  </si>
  <si>
    <t>Two-Pipe Systems</t>
  </si>
  <si>
    <t>Other Fans</t>
  </si>
  <si>
    <t>Building Managers</t>
  </si>
  <si>
    <t>Shift training</t>
  </si>
  <si>
    <t>h) Periodically review and update tools</t>
  </si>
  <si>
    <t>Brochures and other visual aids</t>
  </si>
  <si>
    <t>Removing a critical sensor</t>
  </si>
  <si>
    <t>Four-Pipe Systems</t>
  </si>
  <si>
    <t>Air Handling Units</t>
  </si>
  <si>
    <t>Bragg Site</t>
  </si>
  <si>
    <t>Classroom training</t>
  </si>
  <si>
    <t>Templates</t>
  </si>
  <si>
    <t>Cooling Coils</t>
  </si>
  <si>
    <t>Typical maintenance items include:</t>
  </si>
  <si>
    <t>Supplier training</t>
  </si>
  <si>
    <t>Statistical Process Control (SPC) charts</t>
  </si>
  <si>
    <t>2) When changes are required:</t>
  </si>
  <si>
    <t>Control Valves</t>
  </si>
  <si>
    <t>Lubrication</t>
  </si>
  <si>
    <t>Peer mentoring</t>
  </si>
  <si>
    <t xml:space="preserve">Building automation systems </t>
  </si>
  <si>
    <t>a) Document the change</t>
  </si>
  <si>
    <t>Heat Exchangers</t>
  </si>
  <si>
    <t>Filter replacement</t>
  </si>
  <si>
    <t xml:space="preserve">Operational and Maintenance </t>
  </si>
  <si>
    <t>On-line training</t>
  </si>
  <si>
    <t>Spreadsheets</t>
  </si>
  <si>
    <t>b) Communicate the change to appropriate personnel</t>
  </si>
  <si>
    <t>VFDs</t>
  </si>
  <si>
    <t>Tension adjustment</t>
  </si>
  <si>
    <t>Leaders</t>
  </si>
  <si>
    <t>Training from certified bodies</t>
  </si>
  <si>
    <t>c) Update implementation tools, as needed</t>
  </si>
  <si>
    <t>Selected parameters for this SEU/Action Plan (list)</t>
  </si>
  <si>
    <t>Cleaning</t>
  </si>
  <si>
    <t>Technical training</t>
  </si>
  <si>
    <t>d) Follow up to ensure that the change is effective and working well</t>
  </si>
  <si>
    <t>Leak repair</t>
  </si>
  <si>
    <t>Fluid levels</t>
  </si>
  <si>
    <t>Thermography</t>
  </si>
  <si>
    <t>Others:</t>
  </si>
  <si>
    <t>Vibration analysis</t>
  </si>
  <si>
    <t>Tuning, etc.</t>
  </si>
  <si>
    <t>ADD OTHERS, as needed</t>
  </si>
  <si>
    <t>SEU #2</t>
  </si>
  <si>
    <t>Building Heating</t>
  </si>
  <si>
    <t>Combustion</t>
  </si>
  <si>
    <t>MTHW</t>
  </si>
  <si>
    <t>Water Heating</t>
  </si>
  <si>
    <t>LTHW</t>
  </si>
  <si>
    <t>Combustion Burners</t>
  </si>
  <si>
    <t>MTHW supply temperature</t>
  </si>
  <si>
    <t>Combustion burner settings</t>
  </si>
  <si>
    <t>Combustion Blowers</t>
  </si>
  <si>
    <t>#2 Fuel Oil</t>
  </si>
  <si>
    <t>LTHW supply temperature</t>
  </si>
  <si>
    <t>Flue exhaust oxygen level</t>
  </si>
  <si>
    <t>(Heating)</t>
  </si>
  <si>
    <t>Hot Water Pumps</t>
  </si>
  <si>
    <t>Percent excess air to burners</t>
  </si>
  <si>
    <t>Feed Water Pumps</t>
  </si>
  <si>
    <t>Boiler loading / loading (i.e. cycling)</t>
  </si>
  <si>
    <t>Fans</t>
  </si>
  <si>
    <t>Other Pumps</t>
  </si>
  <si>
    <t>Direct Fired Heating</t>
  </si>
  <si>
    <t>Heating Coils</t>
  </si>
  <si>
    <t>SEU #3</t>
  </si>
  <si>
    <t>Site-wide</t>
  </si>
  <si>
    <t>All buildings on site</t>
  </si>
  <si>
    <t>Illumination</t>
  </si>
  <si>
    <t>Lighting circuits</t>
  </si>
  <si>
    <t>Fixtures</t>
  </si>
  <si>
    <t>Indoor</t>
  </si>
  <si>
    <t>Lamps</t>
  </si>
  <si>
    <t>Time that the lights are on, especially when not needed</t>
  </si>
  <si>
    <t>Outdoor</t>
  </si>
  <si>
    <t>Occupancy Sensors</t>
  </si>
  <si>
    <t>Proper operation of occupancy and daylight sensors</t>
  </si>
  <si>
    <t>Timers</t>
  </si>
  <si>
    <t>Daylight Sensors</t>
  </si>
  <si>
    <t>99A</t>
  </si>
  <si>
    <t>Baseline and Achievement Period Examples for Energy Improvement</t>
  </si>
  <si>
    <t xml:space="preserve">Relationship between </t>
  </si>
  <si>
    <t>Baseline Period</t>
  </si>
  <si>
    <t>Must be at least 12 months long</t>
  </si>
  <si>
    <t>Achievement Period</t>
  </si>
  <si>
    <t>Starts at the end of the Baseline Period and must be at least 12 months long, but no more that 120 months long</t>
  </si>
  <si>
    <t>Reporting Period</t>
  </si>
  <si>
    <t>Achievement Period and Reporting Period must END at the same time</t>
  </si>
  <si>
    <t>Achievement Period does NOT have to be a multiple of 12 months, although this is convenient</t>
  </si>
  <si>
    <t>Shortest Possible Scenario</t>
  </si>
  <si>
    <t>months</t>
  </si>
  <si>
    <t>Typical Scenario</t>
  </si>
  <si>
    <t>Very Long Scenario</t>
  </si>
  <si>
    <t>99B</t>
  </si>
  <si>
    <t>Bottom Up Energy Savings Example Graphic</t>
  </si>
  <si>
    <t>Top-Down Energy Savings, using the model</t>
  </si>
  <si>
    <t>Bottom-Up Energy Savings, using the Registry</t>
  </si>
  <si>
    <t>Project 6</t>
  </si>
  <si>
    <t xml:space="preserve">TD Total Energy Savings </t>
  </si>
  <si>
    <t>Total Energy Used (THEN)</t>
  </si>
  <si>
    <r>
      <t>ESP</t>
    </r>
    <r>
      <rPr>
        <b/>
        <vertAlign val="subscript"/>
        <sz val="14"/>
        <color theme="1"/>
        <rFont val="Calibri"/>
        <family val="2"/>
        <scheme val="minor"/>
      </rPr>
      <t>TD</t>
    </r>
  </si>
  <si>
    <t>Should be close</t>
  </si>
  <si>
    <t>Project 5</t>
  </si>
  <si>
    <t>Project 4</t>
  </si>
  <si>
    <t xml:space="preserve">BU Total Energy Savings </t>
  </si>
  <si>
    <r>
      <t>ESP</t>
    </r>
    <r>
      <rPr>
        <b/>
        <vertAlign val="subscript"/>
        <sz val="14"/>
        <color theme="1"/>
        <rFont val="Calibri"/>
        <family val="2"/>
        <scheme val="minor"/>
      </rPr>
      <t>BU</t>
    </r>
  </si>
  <si>
    <t>Project 3</t>
  </si>
  <si>
    <t>Project 2</t>
  </si>
  <si>
    <t>Total Energy Used (NOW)</t>
  </si>
  <si>
    <t>Project 1</t>
  </si>
  <si>
    <r>
      <t>RF = ESP</t>
    </r>
    <r>
      <rPr>
        <vertAlign val="subscript"/>
        <sz val="28"/>
        <color theme="1"/>
        <rFont val="Calibri"/>
        <family val="2"/>
        <scheme val="minor"/>
      </rPr>
      <t>BU</t>
    </r>
    <r>
      <rPr>
        <sz val="28"/>
        <color theme="1"/>
        <rFont val="Calibri"/>
        <family val="2"/>
        <scheme val="minor"/>
      </rPr>
      <t xml:space="preserve"> / ESP</t>
    </r>
    <r>
      <rPr>
        <vertAlign val="subscript"/>
        <sz val="28"/>
        <color theme="1"/>
        <rFont val="Calibri"/>
        <family val="2"/>
        <scheme val="minor"/>
      </rPr>
      <t>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</si>
</sst>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3" formatCode="_(* #,##0.00_);_(* \(#,##0.00\);_(* &quot;-&quot;??_);_(@_)"/>
    <numFmt numFmtId="164" formatCode="_(* #,##0_);_(* \(#,##0\);_(* &quot;-&quot;??_);_(@_)"/>
    <numFmt numFmtId="165" formatCode="m/d/yyyy;@"/>
    <numFmt numFmtId="166" formatCode="yyyy"/>
    <numFmt numFmtId="167" formatCode="0.000"/>
    <numFmt numFmtId="168" formatCode="0.0%"/>
    <numFmt numFmtId="169" formatCode="#,##0.000_);[Red]\(#,##0.000\)"/>
    <numFmt numFmtId="170" formatCode="0.0000%"/>
    <numFmt numFmtId="171" formatCode="#,##0.0"/>
    <numFmt numFmtId="172" formatCode="#,##0.0000_);[Red]\(#,##0.0000\)"/>
    <numFmt numFmtId="173" formatCode="mm/dd/yy;@"/>
    <numFmt numFmtId="174" formatCode="[$-409]mmm\-yy;@"/>
  </numFmts>
  <fonts count="99" x14ac:knownFonts="1">
    <font>
      <sz val="11"/>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b/>
      <sz val="14"/>
      <color theme="1"/>
      <name val="Calibri"/>
      <family val="2"/>
      <scheme val="minor"/>
    </font>
    <font>
      <b/>
      <sz val="11"/>
      <color theme="1"/>
      <name val="Calibri"/>
      <family val="2"/>
      <scheme val="minor"/>
    </font>
    <font>
      <sz val="24"/>
      <color theme="1"/>
      <name val="Calibri"/>
      <family val="2"/>
      <scheme val="minor"/>
    </font>
    <font>
      <b/>
      <sz val="11"/>
      <color rgb="FFFF0000"/>
      <name val="Calibri"/>
      <family val="2"/>
      <scheme val="minor"/>
    </font>
    <font>
      <b/>
      <sz val="18"/>
      <color theme="1"/>
      <name val="Calibri"/>
      <family val="2"/>
      <scheme val="minor"/>
    </font>
    <font>
      <b/>
      <sz val="28"/>
      <color theme="1"/>
      <name val="Calibri"/>
      <family val="2"/>
      <scheme val="minor"/>
    </font>
    <font>
      <b/>
      <u/>
      <sz val="24"/>
      <color theme="1"/>
      <name val="Calibri"/>
      <family val="2"/>
      <scheme val="minor"/>
    </font>
    <font>
      <u/>
      <sz val="11"/>
      <color theme="1"/>
      <name val="Calibri"/>
      <family val="2"/>
      <scheme val="minor"/>
    </font>
    <font>
      <sz val="12"/>
      <color theme="1"/>
      <name val="Calibri"/>
      <family val="2"/>
      <scheme val="minor"/>
    </font>
    <font>
      <b/>
      <sz val="14"/>
      <color rgb="FFFF0000"/>
      <name val="Calibri"/>
      <family val="2"/>
      <scheme val="minor"/>
    </font>
    <font>
      <b/>
      <u/>
      <sz val="14"/>
      <color theme="1"/>
      <name val="Calibri"/>
      <family val="2"/>
      <scheme val="minor"/>
    </font>
    <font>
      <b/>
      <sz val="20"/>
      <color theme="1"/>
      <name val="Calibri"/>
      <family val="2"/>
      <scheme val="minor"/>
    </font>
    <font>
      <sz val="11"/>
      <name val="Calibri"/>
      <family val="2"/>
      <scheme val="minor"/>
    </font>
    <font>
      <b/>
      <sz val="48"/>
      <color theme="1"/>
      <name val="Calibri"/>
      <family val="2"/>
      <scheme val="minor"/>
    </font>
    <font>
      <sz val="20"/>
      <color theme="1"/>
      <name val="Calibri"/>
      <family val="2"/>
      <scheme val="minor"/>
    </font>
    <font>
      <b/>
      <sz val="16"/>
      <color theme="1"/>
      <name val="Calibri"/>
      <family val="2"/>
      <scheme val="minor"/>
    </font>
    <font>
      <b/>
      <sz val="24"/>
      <color theme="1"/>
      <name val="Calibri"/>
      <family val="2"/>
      <scheme val="minor"/>
    </font>
    <font>
      <b/>
      <sz val="12"/>
      <color theme="1"/>
      <name val="Calibri"/>
      <family val="2"/>
    </font>
    <font>
      <b/>
      <vertAlign val="subscript"/>
      <sz val="12"/>
      <color theme="1"/>
      <name val="Calibri"/>
      <family val="2"/>
    </font>
    <font>
      <b/>
      <sz val="11"/>
      <color rgb="FFFF00FF"/>
      <name val="Calibri"/>
      <family val="2"/>
      <scheme val="minor"/>
    </font>
    <font>
      <b/>
      <sz val="9"/>
      <color indexed="81"/>
      <name val="Tahoma"/>
      <family val="2"/>
    </font>
    <font>
      <sz val="9"/>
      <color indexed="81"/>
      <name val="Tahoma"/>
      <family val="2"/>
    </font>
    <font>
      <b/>
      <sz val="12"/>
      <color rgb="FFFF0000"/>
      <name val="Calibri"/>
      <family val="2"/>
      <scheme val="minor"/>
    </font>
    <font>
      <b/>
      <sz val="14"/>
      <color rgb="FFFF00FF"/>
      <name val="Calibri"/>
      <family val="2"/>
      <scheme val="minor"/>
    </font>
    <font>
      <b/>
      <sz val="12"/>
      <name val="Calibri"/>
      <family val="2"/>
      <scheme val="minor"/>
    </font>
    <font>
      <sz val="8"/>
      <name val="Calibri"/>
      <family val="2"/>
      <scheme val="minor"/>
    </font>
    <font>
      <b/>
      <sz val="14"/>
      <name val="Calibri"/>
      <family val="2"/>
      <scheme val="minor"/>
    </font>
    <font>
      <b/>
      <sz val="20"/>
      <name val="Calibri"/>
      <family val="2"/>
      <scheme val="minor"/>
    </font>
    <font>
      <b/>
      <sz val="12"/>
      <color rgb="FFFF00FF"/>
      <name val="Calibri"/>
      <family val="2"/>
      <scheme val="minor"/>
    </font>
    <font>
      <b/>
      <sz val="11"/>
      <color rgb="FF0000FF"/>
      <name val="Calibri"/>
      <family val="2"/>
      <scheme val="minor"/>
    </font>
    <font>
      <b/>
      <sz val="14"/>
      <color theme="1"/>
      <name val="Calibri"/>
      <family val="2"/>
    </font>
    <font>
      <b/>
      <u/>
      <sz val="11"/>
      <color theme="1"/>
      <name val="Calibri"/>
      <family val="2"/>
      <scheme val="minor"/>
    </font>
    <font>
      <b/>
      <sz val="16"/>
      <color rgb="FFFF0000"/>
      <name val="Calibri"/>
      <family val="2"/>
      <scheme val="minor"/>
    </font>
    <font>
      <b/>
      <sz val="11"/>
      <color rgb="FF3333FF"/>
      <name val="Calibri"/>
      <family val="2"/>
      <scheme val="minor"/>
    </font>
    <font>
      <b/>
      <sz val="14"/>
      <color rgb="FF3333FF"/>
      <name val="Calibri"/>
      <family val="2"/>
      <scheme val="minor"/>
    </font>
    <font>
      <sz val="11"/>
      <color rgb="FFFF00FF"/>
      <name val="Calibri"/>
      <family val="2"/>
      <scheme val="minor"/>
    </font>
    <font>
      <b/>
      <sz val="20"/>
      <color rgb="FFFF0000"/>
      <name val="Calibri"/>
      <family val="2"/>
      <scheme val="minor"/>
    </font>
    <font>
      <b/>
      <sz val="12"/>
      <color rgb="FF0000FF"/>
      <name val="Calibri"/>
      <family val="2"/>
      <scheme val="minor"/>
    </font>
    <font>
      <b/>
      <sz val="26"/>
      <color theme="1"/>
      <name val="Calibri"/>
      <family val="2"/>
      <scheme val="minor"/>
    </font>
    <font>
      <b/>
      <sz val="14"/>
      <color rgb="FF0000FF"/>
      <name val="Calibri"/>
      <family val="2"/>
      <scheme val="minor"/>
    </font>
    <font>
      <i/>
      <u/>
      <sz val="14"/>
      <color theme="1"/>
      <name val="Calibri"/>
      <family val="2"/>
      <scheme val="minor"/>
    </font>
    <font>
      <sz val="18"/>
      <color theme="1"/>
      <name val="Calibri"/>
      <family val="2"/>
      <scheme val="minor"/>
    </font>
    <font>
      <sz val="11"/>
      <color rgb="FFFF0000"/>
      <name val="Calibri"/>
      <family val="2"/>
      <scheme val="minor"/>
    </font>
    <font>
      <b/>
      <sz val="18"/>
      <color rgb="FFFF0000"/>
      <name val="Calibri"/>
      <family val="2"/>
      <scheme val="minor"/>
    </font>
    <font>
      <b/>
      <u/>
      <sz val="18"/>
      <color theme="1"/>
      <name val="Calibri"/>
      <family val="2"/>
      <scheme val="minor"/>
    </font>
    <font>
      <b/>
      <u/>
      <sz val="20"/>
      <color theme="1"/>
      <name val="Calibri"/>
      <family val="2"/>
      <scheme val="minor"/>
    </font>
    <font>
      <u/>
      <sz val="14"/>
      <color theme="1"/>
      <name val="Calibri"/>
      <family val="2"/>
      <scheme val="minor"/>
    </font>
    <font>
      <sz val="14"/>
      <color rgb="FFFF0000"/>
      <name val="Calibri"/>
      <family val="2"/>
      <scheme val="minor"/>
    </font>
    <font>
      <b/>
      <sz val="72"/>
      <color theme="1"/>
      <name val="Calibri"/>
      <family val="2"/>
      <scheme val="minor"/>
    </font>
    <font>
      <b/>
      <sz val="28"/>
      <color rgb="FFFF0000"/>
      <name val="Calibri"/>
      <family val="2"/>
      <scheme val="minor"/>
    </font>
    <font>
      <b/>
      <sz val="36"/>
      <color theme="1"/>
      <name val="Calibri"/>
      <family val="2"/>
      <scheme val="minor"/>
    </font>
    <font>
      <sz val="28"/>
      <color theme="1"/>
      <name val="Calibri"/>
      <family val="2"/>
      <scheme val="minor"/>
    </font>
    <font>
      <b/>
      <sz val="22"/>
      <color theme="1"/>
      <name val="Calibri"/>
      <family val="2"/>
      <scheme val="minor"/>
    </font>
    <font>
      <sz val="22"/>
      <color theme="1"/>
      <name val="Calibri"/>
      <family val="2"/>
      <scheme val="minor"/>
    </font>
    <font>
      <b/>
      <sz val="24"/>
      <color rgb="FFFF0000"/>
      <name val="Calibri"/>
      <family val="2"/>
      <scheme val="minor"/>
    </font>
    <font>
      <sz val="10"/>
      <name val="Arial"/>
      <family val="2"/>
    </font>
    <font>
      <b/>
      <sz val="14"/>
      <color theme="0"/>
      <name val="Arial"/>
      <family val="2"/>
    </font>
    <font>
      <b/>
      <sz val="14"/>
      <name val="Arial"/>
      <family val="2"/>
    </font>
    <font>
      <b/>
      <sz val="11"/>
      <color theme="1"/>
      <name val="Arial"/>
      <family val="2"/>
    </font>
    <font>
      <b/>
      <sz val="24"/>
      <name val="Calibri"/>
      <family val="2"/>
      <scheme val="minor"/>
    </font>
    <font>
      <b/>
      <i/>
      <sz val="12"/>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u/>
      <sz val="9"/>
      <color theme="1"/>
      <name val="Calibri"/>
      <family val="2"/>
      <scheme val="minor"/>
    </font>
    <font>
      <b/>
      <sz val="10"/>
      <color indexed="81"/>
      <name val="Tahoma"/>
      <family val="2"/>
    </font>
    <font>
      <sz val="10"/>
      <color indexed="81"/>
      <name val="Tahoma"/>
      <family val="2"/>
    </font>
    <font>
      <b/>
      <sz val="18"/>
      <color theme="1"/>
      <name val="Arial"/>
      <family val="2"/>
    </font>
    <font>
      <b/>
      <sz val="10"/>
      <color theme="1"/>
      <name val="Arial"/>
      <family val="2"/>
    </font>
    <font>
      <sz val="10"/>
      <color theme="1"/>
      <name val="Arial"/>
      <family val="2"/>
    </font>
    <font>
      <b/>
      <sz val="10"/>
      <color rgb="FF000000"/>
      <name val="Arial"/>
      <family val="2"/>
    </font>
    <font>
      <sz val="10"/>
      <color rgb="FF000000"/>
      <name val="Arial"/>
      <family val="2"/>
    </font>
    <font>
      <u/>
      <sz val="10"/>
      <color rgb="FF000000"/>
      <name val="Arial"/>
      <family val="2"/>
    </font>
    <font>
      <b/>
      <sz val="10"/>
      <color rgb="FF000000"/>
      <name val="Georgia"/>
      <family val="1"/>
    </font>
    <font>
      <b/>
      <sz val="12"/>
      <color theme="1"/>
      <name val="Arial"/>
      <family val="2"/>
    </font>
    <font>
      <b/>
      <sz val="12"/>
      <color rgb="FF000000"/>
      <name val="Arial"/>
      <family val="2"/>
    </font>
    <font>
      <b/>
      <i/>
      <sz val="12"/>
      <color theme="1"/>
      <name val="Arial"/>
      <family val="2"/>
    </font>
    <font>
      <b/>
      <i/>
      <sz val="12"/>
      <color rgb="FF000000"/>
      <name val="Arial"/>
      <family val="2"/>
    </font>
    <font>
      <sz val="11"/>
      <color theme="1"/>
      <name val="Arial"/>
      <family val="2"/>
    </font>
    <font>
      <sz val="16"/>
      <color theme="1"/>
      <name val="Arial"/>
      <family val="2"/>
    </font>
    <font>
      <sz val="11"/>
      <color rgb="FFFF0000"/>
      <name val="Arial"/>
      <family val="2"/>
    </font>
    <font>
      <b/>
      <sz val="14"/>
      <color theme="1"/>
      <name val="Arial"/>
      <family val="2"/>
    </font>
    <font>
      <b/>
      <sz val="14"/>
      <color rgb="FF000000"/>
      <name val="Arial"/>
      <family val="2"/>
    </font>
    <font>
      <sz val="10"/>
      <color theme="1"/>
      <name val="Calibri"/>
      <family val="2"/>
    </font>
    <font>
      <sz val="48"/>
      <color rgb="FF0000FF"/>
      <name val="Calibri"/>
      <family val="2"/>
      <scheme val="minor"/>
    </font>
    <font>
      <sz val="18"/>
      <color theme="1"/>
      <name val="Calibri"/>
      <family val="2"/>
    </font>
    <font>
      <b/>
      <sz val="20"/>
      <color rgb="FF0000FF"/>
      <name val="Calibri"/>
      <family val="2"/>
      <scheme val="minor"/>
    </font>
    <font>
      <sz val="11"/>
      <color rgb="FF0000FF"/>
      <name val="Calibri"/>
      <family val="2"/>
      <scheme val="minor"/>
    </font>
    <font>
      <b/>
      <sz val="16"/>
      <color rgb="FF0000FF"/>
      <name val="Calibri"/>
      <family val="2"/>
      <scheme val="minor"/>
    </font>
    <font>
      <sz val="11"/>
      <color theme="1"/>
      <name val="Calibri"/>
      <family val="2"/>
    </font>
    <font>
      <sz val="10"/>
      <color rgb="FF000000"/>
      <name val="Symbol"/>
      <family val="1"/>
      <charset val="2"/>
    </font>
    <font>
      <sz val="7"/>
      <color rgb="FF000000"/>
      <name val="Times New Roman"/>
      <family val="1"/>
    </font>
    <font>
      <b/>
      <vertAlign val="subscript"/>
      <sz val="14"/>
      <color theme="1"/>
      <name val="Calibri"/>
      <family val="2"/>
      <scheme val="minor"/>
    </font>
    <font>
      <b/>
      <sz val="22"/>
      <color rgb="FFFF0000"/>
      <name val="Calibri"/>
      <family val="2"/>
      <scheme val="minor"/>
    </font>
    <font>
      <vertAlign val="subscript"/>
      <sz val="28"/>
      <color theme="1"/>
      <name val="Calibri"/>
      <family val="2"/>
      <scheme val="minor"/>
    </font>
  </fonts>
  <fills count="42">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00"/>
        <bgColor indexed="64"/>
      </patternFill>
    </fill>
    <fill>
      <patternFill patternType="solid">
        <fgColor rgb="FF00FFFF"/>
        <bgColor indexed="64"/>
      </patternFill>
    </fill>
    <fill>
      <patternFill patternType="solid">
        <fgColor rgb="FF00FF99"/>
        <bgColor indexed="64"/>
      </patternFill>
    </fill>
    <fill>
      <patternFill patternType="solid">
        <fgColor rgb="FFCCFF33"/>
        <bgColor indexed="64"/>
      </patternFill>
    </fill>
    <fill>
      <patternFill patternType="solid">
        <fgColor theme="0"/>
        <bgColor indexed="64"/>
      </patternFill>
    </fill>
    <fill>
      <patternFill patternType="solid">
        <fgColor theme="9" tint="0.79998168889431442"/>
        <bgColor indexed="64"/>
      </patternFill>
    </fill>
    <fill>
      <patternFill patternType="solid">
        <fgColor rgb="FF99FF99"/>
        <bgColor indexed="64"/>
      </patternFill>
    </fill>
    <fill>
      <patternFill patternType="solid">
        <fgColor rgb="FFCCFF66"/>
        <bgColor indexed="64"/>
      </patternFill>
    </fill>
    <fill>
      <patternFill patternType="solid">
        <fgColor rgb="FFFFFFCC"/>
        <bgColor indexed="64"/>
      </patternFill>
    </fill>
    <fill>
      <patternFill patternType="solid">
        <fgColor rgb="FFFFFFFF"/>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FF00"/>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CFF"/>
        <bgColor indexed="64"/>
      </patternFill>
    </fill>
    <fill>
      <patternFill patternType="solid">
        <fgColor rgb="FFF4E1FF"/>
        <bgColor indexed="64"/>
      </patternFill>
    </fill>
    <fill>
      <patternFill patternType="solid">
        <fgColor rgb="FFFFDF79"/>
        <bgColor indexed="64"/>
      </patternFill>
    </fill>
    <fill>
      <patternFill patternType="solid">
        <fgColor rgb="FFC00000"/>
        <bgColor indexed="64"/>
      </patternFill>
    </fill>
    <fill>
      <patternFill patternType="solid">
        <fgColor rgb="FF009900"/>
        <bgColor indexed="64"/>
      </patternFill>
    </fill>
    <fill>
      <patternFill patternType="solid">
        <fgColor rgb="FF7030A0"/>
        <bgColor indexed="64"/>
      </patternFill>
    </fill>
    <fill>
      <patternFill patternType="solid">
        <fgColor rgb="FFC1FFC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CCCCFF"/>
        <bgColor indexed="64"/>
      </patternFill>
    </fill>
    <fill>
      <patternFill patternType="solid">
        <fgColor rgb="FFFF99FF"/>
        <bgColor indexed="64"/>
      </patternFill>
    </fill>
    <fill>
      <patternFill patternType="solid">
        <fgColor rgb="FFFFC94B"/>
        <bgColor indexed="64"/>
      </patternFill>
    </fill>
    <fill>
      <patternFill patternType="solid">
        <fgColor rgb="FFE5D993"/>
        <bgColor indexed="64"/>
      </patternFill>
    </fill>
    <fill>
      <patternFill patternType="solid">
        <fgColor theme="3" tint="0.59999389629810485"/>
        <bgColor indexed="64"/>
      </patternFill>
    </fill>
    <fill>
      <patternFill patternType="solid">
        <fgColor rgb="FFFF0000"/>
        <bgColor indexed="64"/>
      </patternFill>
    </fill>
    <fill>
      <patternFill patternType="solid">
        <fgColor rgb="FF00B050"/>
        <bgColor indexed="64"/>
      </patternFill>
    </fill>
    <fill>
      <patternFill patternType="solid">
        <fgColor rgb="FF99FFCC"/>
        <bgColor indexed="64"/>
      </patternFill>
    </fill>
  </fills>
  <borders count="7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rgb="FFFF0000"/>
      </left>
      <right/>
      <top style="thick">
        <color rgb="FFFF0000"/>
      </top>
      <bottom/>
      <diagonal/>
    </border>
    <border>
      <left/>
      <right/>
      <top style="thick">
        <color rgb="FFFF0000"/>
      </top>
      <bottom/>
      <diagonal/>
    </border>
    <border>
      <left/>
      <right style="thick">
        <color auto="1"/>
      </right>
      <top style="thick">
        <color rgb="FFFF0000"/>
      </top>
      <bottom/>
      <diagonal/>
    </border>
    <border>
      <left style="thick">
        <color rgb="FFFF0000"/>
      </left>
      <right/>
      <top/>
      <bottom/>
      <diagonal/>
    </border>
    <border>
      <left style="thick">
        <color rgb="FFFF0000"/>
      </left>
      <right/>
      <top/>
      <bottom style="thick">
        <color rgb="FFFF0000"/>
      </bottom>
      <diagonal/>
    </border>
    <border>
      <left/>
      <right style="thick">
        <color auto="1"/>
      </right>
      <top/>
      <bottom style="thick">
        <color rgb="FFFF0000"/>
      </bottom>
      <diagonal/>
    </border>
    <border>
      <left style="thick">
        <color auto="1"/>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top/>
      <bottom/>
      <diagonal style="thin">
        <color auto="1"/>
      </diagonal>
    </border>
    <border diagonalUp="1">
      <left/>
      <right/>
      <top/>
      <bottom style="thin">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967">
    <xf numFmtId="0" fontId="0" fillId="0" borderId="0" xfId="0"/>
    <xf numFmtId="0" fontId="0" fillId="0" borderId="0" xfId="0" applyAlignment="1">
      <alignment vertical="center"/>
    </xf>
    <xf numFmtId="0" fontId="0" fillId="0" borderId="0" xfId="0" applyAlignment="1">
      <alignment horizontal="left" vertical="center"/>
    </xf>
    <xf numFmtId="0" fontId="1" fillId="0" borderId="0" xfId="0" applyFont="1" applyAlignment="1">
      <alignment horizontal="left" vertical="center"/>
    </xf>
    <xf numFmtId="0" fontId="0" fillId="0" borderId="20" xfId="0" applyBorder="1" applyAlignment="1">
      <alignment vertical="center"/>
    </xf>
    <xf numFmtId="0" fontId="4" fillId="0" borderId="0" xfId="0" applyFont="1" applyAlignment="1">
      <alignment vertical="center"/>
    </xf>
    <xf numFmtId="0" fontId="0" fillId="0" borderId="9" xfId="0"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 fillId="0" borderId="0" xfId="0" applyFont="1" applyAlignment="1">
      <alignment vertical="center"/>
    </xf>
    <xf numFmtId="0" fontId="0" fillId="0" borderId="22" xfId="0" applyBorder="1" applyAlignment="1">
      <alignment vertical="center"/>
    </xf>
    <xf numFmtId="0" fontId="4" fillId="0" borderId="0" xfId="0" applyFont="1" applyAlignment="1">
      <alignment horizontal="center" vertical="center"/>
    </xf>
    <xf numFmtId="0" fontId="0" fillId="0" borderId="0" xfId="0" applyAlignment="1">
      <alignment horizontal="right"/>
    </xf>
    <xf numFmtId="0" fontId="0" fillId="0" borderId="0" xfId="0" applyAlignment="1">
      <alignment horizontal="center" vertical="center"/>
    </xf>
    <xf numFmtId="0" fontId="0" fillId="2" borderId="31" xfId="0" applyFill="1" applyBorder="1" applyAlignment="1">
      <alignment horizontal="centerContinuous" vertical="center"/>
    </xf>
    <xf numFmtId="0" fontId="0" fillId="2" borderId="32" xfId="0" applyFill="1" applyBorder="1" applyAlignment="1">
      <alignment horizontal="centerContinuous" vertical="center"/>
    </xf>
    <xf numFmtId="0" fontId="0" fillId="2" borderId="33" xfId="0" applyFill="1" applyBorder="1" applyAlignment="1">
      <alignment horizontal="centerContinuous" vertical="center"/>
    </xf>
    <xf numFmtId="0" fontId="9"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4" fillId="2" borderId="20" xfId="0" applyFont="1" applyFill="1" applyBorder="1" applyAlignment="1">
      <alignment horizontal="center"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3" fontId="0" fillId="0" borderId="0" xfId="0" applyNumberFormat="1"/>
    <xf numFmtId="0" fontId="0" fillId="0" borderId="29" xfId="0" applyBorder="1" applyAlignment="1">
      <alignment horizontal="center" vertical="center"/>
    </xf>
    <xf numFmtId="3" fontId="0" fillId="0" borderId="29" xfId="0" applyNumberFormat="1" applyBorder="1" applyAlignment="1">
      <alignment horizontal="center" vertical="center"/>
    </xf>
    <xf numFmtId="9" fontId="0" fillId="0" borderId="29" xfId="0" applyNumberFormat="1" applyBorder="1" applyAlignment="1">
      <alignment horizontal="center" vertical="center"/>
    </xf>
    <xf numFmtId="0" fontId="12" fillId="0" borderId="0" xfId="0" applyFont="1" applyAlignment="1">
      <alignment horizontal="left" vertical="center"/>
    </xf>
    <xf numFmtId="0" fontId="13" fillId="0" borderId="20" xfId="0" applyFont="1" applyBorder="1" applyAlignment="1">
      <alignment horizontal="center" vertical="center"/>
    </xf>
    <xf numFmtId="0" fontId="1" fillId="0" borderId="0" xfId="0" applyFont="1" applyAlignment="1">
      <alignment horizontal="right" vertical="center"/>
    </xf>
    <xf numFmtId="0" fontId="2" fillId="0" borderId="0" xfId="0" applyFont="1"/>
    <xf numFmtId="0" fontId="18" fillId="0" borderId="0" xfId="0" applyFont="1" applyAlignment="1">
      <alignment vertical="center"/>
    </xf>
    <xf numFmtId="0" fontId="3" fillId="0" borderId="0" xfId="0" applyFont="1"/>
    <xf numFmtId="0" fontId="19" fillId="0" borderId="0" xfId="0" applyFont="1"/>
    <xf numFmtId="0" fontId="4" fillId="0" borderId="0" xfId="0" applyFont="1" applyAlignment="1">
      <alignment horizontal="right" vertical="center"/>
    </xf>
    <xf numFmtId="43" fontId="0" fillId="0" borderId="20" xfId="0" applyNumberFormat="1" applyBorder="1" applyAlignment="1">
      <alignment horizontal="center" vertical="center"/>
    </xf>
    <xf numFmtId="164" fontId="0" fillId="0" borderId="20" xfId="0" applyNumberFormat="1" applyBorder="1" applyAlignment="1">
      <alignment horizontal="center" vertical="center"/>
    </xf>
    <xf numFmtId="0" fontId="0" fillId="0" borderId="20" xfId="0" applyBorder="1" applyAlignment="1">
      <alignment horizontal="center" vertical="center"/>
    </xf>
    <xf numFmtId="165" fontId="0" fillId="0" borderId="20" xfId="0" applyNumberFormat="1" applyBorder="1" applyAlignment="1">
      <alignment horizontal="center" vertical="center"/>
    </xf>
    <xf numFmtId="166" fontId="0" fillId="0" borderId="20" xfId="0" applyNumberFormat="1" applyBorder="1" applyAlignment="1">
      <alignment horizontal="center" vertical="center"/>
    </xf>
    <xf numFmtId="38" fontId="0" fillId="0" borderId="20" xfId="0" applyNumberFormat="1" applyBorder="1" applyAlignment="1">
      <alignment horizontal="center" vertical="center"/>
    </xf>
    <xf numFmtId="38" fontId="0" fillId="0" borderId="0" xfId="0" applyNumberFormat="1" applyAlignment="1">
      <alignment horizontal="center" vertical="center"/>
    </xf>
    <xf numFmtId="38" fontId="4" fillId="0" borderId="0" xfId="0" applyNumberFormat="1" applyFont="1" applyAlignment="1">
      <alignment horizontal="center" vertical="center"/>
    </xf>
    <xf numFmtId="0" fontId="6" fillId="0" borderId="0" xfId="0" applyFont="1" applyAlignment="1">
      <alignment horizontal="left" vertical="center" indent="1"/>
    </xf>
    <xf numFmtId="38" fontId="13" fillId="0" borderId="0" xfId="0" applyNumberFormat="1" applyFont="1" applyAlignment="1">
      <alignment horizontal="center" vertical="center"/>
    </xf>
    <xf numFmtId="0" fontId="15" fillId="0" borderId="0" xfId="0" applyFont="1" applyAlignment="1">
      <alignment horizontal="center" vertical="center"/>
    </xf>
    <xf numFmtId="0" fontId="7" fillId="4" borderId="20" xfId="0" applyFont="1" applyFill="1" applyBorder="1" applyAlignment="1">
      <alignment horizontal="center" vertical="center"/>
    </xf>
    <xf numFmtId="0" fontId="19" fillId="6" borderId="31" xfId="0" applyFont="1" applyFill="1" applyBorder="1" applyAlignment="1">
      <alignment horizontal="centerContinuous" vertical="center"/>
    </xf>
    <xf numFmtId="0" fontId="19" fillId="6" borderId="32" xfId="0" applyFont="1" applyFill="1" applyBorder="1" applyAlignment="1">
      <alignment horizontal="centerContinuous" vertical="center"/>
    </xf>
    <xf numFmtId="0" fontId="19" fillId="6" borderId="33" xfId="0" applyFont="1" applyFill="1" applyBorder="1" applyAlignment="1">
      <alignment horizontal="centerContinuous" vertical="center"/>
    </xf>
    <xf numFmtId="0" fontId="0" fillId="7" borderId="32" xfId="0" applyFill="1" applyBorder="1" applyAlignment="1">
      <alignment horizontal="centerContinuous" vertical="center"/>
    </xf>
    <xf numFmtId="0" fontId="0" fillId="7" borderId="33" xfId="0" applyFill="1" applyBorder="1" applyAlignment="1">
      <alignment horizontal="centerContinuous" vertical="center"/>
    </xf>
    <xf numFmtId="0" fontId="19" fillId="7" borderId="31" xfId="0" applyFont="1" applyFill="1" applyBorder="1" applyAlignment="1">
      <alignment horizontal="centerContinuous" vertical="center"/>
    </xf>
    <xf numFmtId="165" fontId="0" fillId="0" borderId="35" xfId="0" applyNumberFormat="1" applyBorder="1" applyAlignment="1">
      <alignment horizontal="center" vertical="center"/>
    </xf>
    <xf numFmtId="38" fontId="0" fillId="0" borderId="35" xfId="0" applyNumberFormat="1" applyBorder="1" applyAlignment="1">
      <alignment horizontal="center" vertical="center"/>
    </xf>
    <xf numFmtId="166" fontId="0" fillId="0" borderId="35" xfId="0" applyNumberFormat="1" applyBorder="1" applyAlignment="1">
      <alignment horizontal="center" vertical="center"/>
    </xf>
    <xf numFmtId="165" fontId="0" fillId="0" borderId="34" xfId="0" applyNumberFormat="1" applyBorder="1" applyAlignment="1">
      <alignment horizontal="center" vertical="center"/>
    </xf>
    <xf numFmtId="38" fontId="0" fillId="0" borderId="34" xfId="0" applyNumberFormat="1" applyBorder="1" applyAlignment="1">
      <alignment horizontal="center" vertical="center"/>
    </xf>
    <xf numFmtId="166" fontId="0" fillId="0" borderId="34" xfId="0" applyNumberFormat="1" applyBorder="1" applyAlignment="1">
      <alignment horizontal="center" vertical="center"/>
    </xf>
    <xf numFmtId="2" fontId="0" fillId="4" borderId="20" xfId="0" applyNumberFormat="1" applyFill="1" applyBorder="1" applyAlignment="1">
      <alignment horizontal="center" vertical="center"/>
    </xf>
    <xf numFmtId="0" fontId="8" fillId="0" borderId="0" xfId="0" applyFont="1"/>
    <xf numFmtId="0" fontId="0" fillId="0" borderId="0" xfId="0" applyAlignment="1">
      <alignment horizontal="left" vertical="center" indent="1"/>
    </xf>
    <xf numFmtId="167" fontId="5" fillId="5" borderId="20" xfId="0" applyNumberFormat="1" applyFont="1" applyFill="1" applyBorder="1" applyAlignment="1">
      <alignment horizontal="center" vertical="center"/>
    </xf>
    <xf numFmtId="9" fontId="0" fillId="0" borderId="0" xfId="0" applyNumberFormat="1" applyAlignment="1">
      <alignment horizontal="left" vertical="center" indent="1"/>
    </xf>
    <xf numFmtId="9" fontId="5" fillId="5" borderId="20" xfId="0" applyNumberFormat="1" applyFont="1" applyFill="1" applyBorder="1" applyAlignment="1">
      <alignment horizontal="center" vertical="center"/>
    </xf>
    <xf numFmtId="0" fontId="1" fillId="4" borderId="20" xfId="0" applyFont="1" applyFill="1" applyBorder="1" applyAlignment="1">
      <alignment horizontal="center" vertical="center"/>
    </xf>
    <xf numFmtId="0" fontId="1" fillId="4" borderId="31" xfId="0" applyFont="1" applyFill="1" applyBorder="1" applyAlignment="1">
      <alignment horizontal="left" vertical="center" indent="1"/>
    </xf>
    <xf numFmtId="3" fontId="0" fillId="0" borderId="20" xfId="0" applyNumberFormat="1" applyBorder="1" applyAlignment="1">
      <alignment horizontal="center" vertical="center"/>
    </xf>
    <xf numFmtId="168" fontId="0" fillId="0" borderId="20" xfId="0" applyNumberFormat="1" applyBorder="1" applyAlignment="1">
      <alignment horizontal="center" vertical="center"/>
    </xf>
    <xf numFmtId="0" fontId="0" fillId="0" borderId="20" xfId="0" applyBorder="1" applyAlignment="1">
      <alignment horizontal="left" vertical="center" indent="1"/>
    </xf>
    <xf numFmtId="0" fontId="4" fillId="4" borderId="20" xfId="0" applyFont="1" applyFill="1" applyBorder="1" applyAlignment="1">
      <alignment horizontal="center" vertical="center"/>
    </xf>
    <xf numFmtId="0" fontId="1" fillId="0" borderId="0" xfId="0" applyFont="1" applyAlignment="1">
      <alignment horizontal="center" vertical="center"/>
    </xf>
    <xf numFmtId="0" fontId="13" fillId="0" borderId="0" xfId="0" applyFont="1" applyAlignment="1">
      <alignment horizontal="left" vertical="center"/>
    </xf>
    <xf numFmtId="0" fontId="5" fillId="0" borderId="20" xfId="0" applyFont="1" applyBorder="1" applyAlignment="1">
      <alignment horizontal="center" vertical="center"/>
    </xf>
    <xf numFmtId="0" fontId="0" fillId="4" borderId="33" xfId="0" applyFill="1" applyBorder="1" applyAlignment="1">
      <alignment horizontal="center" vertical="center"/>
    </xf>
    <xf numFmtId="0" fontId="0" fillId="4" borderId="32" xfId="0" applyFill="1" applyBorder="1" applyAlignment="1">
      <alignment horizontal="centerContinuous" vertical="center"/>
    </xf>
    <xf numFmtId="0" fontId="0" fillId="4" borderId="33" xfId="0" applyFill="1" applyBorder="1" applyAlignment="1">
      <alignment horizontal="centerContinuous" vertical="center"/>
    </xf>
    <xf numFmtId="0" fontId="5" fillId="4" borderId="31" xfId="0" applyFont="1" applyFill="1" applyBorder="1" applyAlignment="1">
      <alignment horizontal="centerContinuous" vertical="center"/>
    </xf>
    <xf numFmtId="0" fontId="5" fillId="4" borderId="32" xfId="0" applyFont="1" applyFill="1" applyBorder="1" applyAlignment="1">
      <alignment horizontal="centerContinuous" vertical="center"/>
    </xf>
    <xf numFmtId="0" fontId="5" fillId="4" borderId="33" xfId="0" applyFont="1" applyFill="1" applyBorder="1" applyAlignment="1">
      <alignment horizontal="centerContinuous" vertical="center"/>
    </xf>
    <xf numFmtId="0" fontId="1" fillId="4" borderId="31" xfId="0" applyFont="1" applyFill="1" applyBorder="1" applyAlignment="1">
      <alignment horizontal="centerContinuous" vertical="center"/>
    </xf>
    <xf numFmtId="0" fontId="16" fillId="0" borderId="20" xfId="0" applyFont="1" applyBorder="1" applyAlignment="1">
      <alignment horizontal="left" vertical="center" indent="1"/>
    </xf>
    <xf numFmtId="0" fontId="16" fillId="0" borderId="20" xfId="0" applyFont="1" applyBorder="1" applyAlignment="1">
      <alignment horizontal="center" vertical="center"/>
    </xf>
    <xf numFmtId="168" fontId="16" fillId="0" borderId="20" xfId="0" applyNumberFormat="1" applyFont="1" applyBorder="1" applyAlignment="1">
      <alignment horizontal="center" vertical="center"/>
    </xf>
    <xf numFmtId="0" fontId="4" fillId="4" borderId="20" xfId="0" applyFont="1" applyFill="1" applyBorder="1" applyAlignment="1">
      <alignment horizontal="centerContinuous" vertical="center"/>
    </xf>
    <xf numFmtId="0" fontId="4" fillId="0" borderId="31" xfId="0" applyFont="1" applyBorder="1" applyAlignment="1">
      <alignment horizontal="centerContinuous" vertical="center"/>
    </xf>
    <xf numFmtId="0" fontId="0" fillId="0" borderId="32" xfId="0" applyBorder="1" applyAlignment="1">
      <alignment horizontal="centerContinuous" vertical="center"/>
    </xf>
    <xf numFmtId="0" fontId="0" fillId="0" borderId="33" xfId="0" applyBorder="1" applyAlignment="1">
      <alignment horizontal="centerContinuous" vertical="center"/>
    </xf>
    <xf numFmtId="4" fontId="0" fillId="0" borderId="20" xfId="0" applyNumberFormat="1" applyBorder="1" applyAlignment="1">
      <alignment horizontal="center" vertical="center"/>
    </xf>
    <xf numFmtId="0" fontId="1" fillId="4" borderId="35" xfId="0" applyFont="1" applyFill="1" applyBorder="1" applyAlignment="1">
      <alignment horizontal="center" vertical="center"/>
    </xf>
    <xf numFmtId="9" fontId="21" fillId="4" borderId="35" xfId="0" applyNumberFormat="1" applyFont="1" applyFill="1" applyBorder="1" applyAlignment="1">
      <alignment horizontal="center" vertical="center"/>
    </xf>
    <xf numFmtId="0" fontId="0" fillId="0" borderId="35" xfId="0" applyBorder="1" applyAlignment="1">
      <alignment horizontal="center" vertical="center"/>
    </xf>
    <xf numFmtId="0" fontId="0" fillId="4" borderId="32" xfId="0" applyFill="1" applyBorder="1" applyAlignment="1">
      <alignment horizontal="left" vertical="center" indent="1"/>
    </xf>
    <xf numFmtId="0" fontId="0" fillId="4" borderId="35" xfId="0" applyFill="1" applyBorder="1" applyAlignment="1">
      <alignment horizontal="center" vertical="center"/>
    </xf>
    <xf numFmtId="0" fontId="1" fillId="0" borderId="26" xfId="0" applyFont="1" applyBorder="1" applyAlignment="1">
      <alignment horizontal="left" vertical="center" indent="1"/>
    </xf>
    <xf numFmtId="3" fontId="0" fillId="0" borderId="35" xfId="0" applyNumberFormat="1" applyBorder="1" applyAlignment="1">
      <alignment horizontal="center" vertical="center"/>
    </xf>
    <xf numFmtId="0" fontId="13" fillId="9" borderId="20" xfId="0" applyFont="1" applyFill="1" applyBorder="1" applyAlignment="1">
      <alignment horizontal="center" vertical="center"/>
    </xf>
    <xf numFmtId="0" fontId="4" fillId="10" borderId="20" xfId="0" applyFont="1" applyFill="1" applyBorder="1" applyAlignment="1">
      <alignment horizontal="center" vertical="center"/>
    </xf>
    <xf numFmtId="0" fontId="4" fillId="10" borderId="20" xfId="0" applyFont="1" applyFill="1" applyBorder="1" applyAlignment="1">
      <alignment horizontal="centerContinuous" vertical="center"/>
    </xf>
    <xf numFmtId="0" fontId="0" fillId="10" borderId="32" xfId="0" applyFill="1" applyBorder="1" applyAlignment="1">
      <alignment horizontal="centerContinuous" vertical="center"/>
    </xf>
    <xf numFmtId="0" fontId="0" fillId="10" borderId="33" xfId="0" applyFill="1" applyBorder="1" applyAlignment="1">
      <alignment horizontal="centerContinuous" vertical="center"/>
    </xf>
    <xf numFmtId="9" fontId="5"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vertical="center"/>
    </xf>
    <xf numFmtId="9" fontId="21" fillId="10" borderId="20" xfId="0" applyNumberFormat="1" applyFont="1" applyFill="1" applyBorder="1" applyAlignment="1">
      <alignment horizontal="center" vertical="center"/>
    </xf>
    <xf numFmtId="9" fontId="21" fillId="10" borderId="31" xfId="0" applyNumberFormat="1" applyFont="1" applyFill="1" applyBorder="1" applyAlignment="1">
      <alignment horizontal="center" vertical="center"/>
    </xf>
    <xf numFmtId="0" fontId="5" fillId="10" borderId="20" xfId="0" applyFont="1" applyFill="1" applyBorder="1" applyAlignment="1">
      <alignment horizontal="center" vertical="center"/>
    </xf>
    <xf numFmtId="4" fontId="5" fillId="10" borderId="20" xfId="0" applyNumberFormat="1" applyFont="1" applyFill="1" applyBorder="1" applyAlignment="1">
      <alignment horizontal="center" vertical="center"/>
    </xf>
    <xf numFmtId="9" fontId="4" fillId="10" borderId="31" xfId="0" applyNumberFormat="1" applyFont="1" applyFill="1" applyBorder="1" applyAlignment="1">
      <alignment horizontal="centerContinuous" vertical="center"/>
    </xf>
    <xf numFmtId="9" fontId="5" fillId="10" borderId="33" xfId="0" applyNumberFormat="1" applyFont="1" applyFill="1" applyBorder="1" applyAlignment="1">
      <alignment horizontal="centerContinuous" vertical="center"/>
    </xf>
    <xf numFmtId="0" fontId="7" fillId="0" borderId="0" xfId="0" applyFont="1" applyAlignment="1">
      <alignment horizontal="left" vertical="center"/>
    </xf>
    <xf numFmtId="0" fontId="1" fillId="4" borderId="36" xfId="0" applyFont="1" applyFill="1" applyBorder="1" applyAlignment="1">
      <alignment horizontal="center" vertical="center"/>
    </xf>
    <xf numFmtId="3" fontId="1" fillId="4" borderId="35" xfId="0" applyNumberFormat="1" applyFont="1" applyFill="1" applyBorder="1" applyAlignment="1">
      <alignment horizontal="center" vertical="center"/>
    </xf>
    <xf numFmtId="170" fontId="0" fillId="0" borderId="0" xfId="0" applyNumberFormat="1" applyAlignment="1">
      <alignment horizontal="left" vertical="center" indent="1"/>
    </xf>
    <xf numFmtId="0" fontId="0" fillId="9" borderId="32" xfId="0" applyFill="1" applyBorder="1" applyAlignment="1">
      <alignment horizontal="centerContinuous" vertical="center"/>
    </xf>
    <xf numFmtId="0" fontId="0" fillId="9" borderId="33" xfId="0" applyFill="1" applyBorder="1" applyAlignment="1">
      <alignment horizontal="centerContinuous" vertical="center"/>
    </xf>
    <xf numFmtId="0" fontId="26" fillId="9" borderId="20" xfId="0" applyFont="1" applyFill="1" applyBorder="1" applyAlignment="1">
      <alignment horizontal="center" vertical="center"/>
    </xf>
    <xf numFmtId="0" fontId="26" fillId="9" borderId="31" xfId="0" applyFont="1" applyFill="1" applyBorder="1" applyAlignment="1">
      <alignment horizontal="center" vertical="center"/>
    </xf>
    <xf numFmtId="3" fontId="26" fillId="9" borderId="33" xfId="0" applyNumberFormat="1" applyFont="1" applyFill="1" applyBorder="1" applyAlignment="1">
      <alignment horizontal="center" vertical="center"/>
    </xf>
    <xf numFmtId="9" fontId="26" fillId="9" borderId="20" xfId="0" applyNumberFormat="1" applyFont="1" applyFill="1" applyBorder="1" applyAlignment="1">
      <alignment horizontal="center" vertical="center"/>
    </xf>
    <xf numFmtId="0" fontId="23" fillId="0" borderId="0" xfId="0" applyFont="1" applyAlignment="1">
      <alignment horizontal="left" vertical="center"/>
    </xf>
    <xf numFmtId="0" fontId="28" fillId="0" borderId="26" xfId="0" applyFont="1" applyBorder="1" applyAlignment="1">
      <alignment horizontal="left" vertical="center" indent="1"/>
    </xf>
    <xf numFmtId="0" fontId="1" fillId="9" borderId="20" xfId="0" applyFont="1" applyFill="1" applyBorder="1" applyAlignment="1">
      <alignment horizontal="center" vertical="center"/>
    </xf>
    <xf numFmtId="0" fontId="0" fillId="9" borderId="20" xfId="0" applyFill="1" applyBorder="1" applyAlignment="1">
      <alignment horizontal="center" vertical="center"/>
    </xf>
    <xf numFmtId="9" fontId="0" fillId="9" borderId="20" xfId="0" applyNumberFormat="1" applyFill="1" applyBorder="1" applyAlignment="1">
      <alignment horizontal="center" vertical="center"/>
    </xf>
    <xf numFmtId="0" fontId="1" fillId="2" borderId="31" xfId="0" applyFont="1" applyFill="1" applyBorder="1" applyAlignment="1">
      <alignment horizontal="left" vertical="center" indent="1"/>
    </xf>
    <xf numFmtId="0" fontId="0" fillId="2" borderId="32" xfId="0" applyFill="1" applyBorder="1" applyAlignment="1">
      <alignment horizontal="left" vertical="center" indent="1"/>
    </xf>
    <xf numFmtId="0" fontId="0" fillId="2" borderId="32" xfId="0" applyFill="1" applyBorder="1" applyAlignment="1">
      <alignment horizontal="center" vertical="center"/>
    </xf>
    <xf numFmtId="0" fontId="0" fillId="2" borderId="23" xfId="0" applyFill="1" applyBorder="1" applyAlignment="1">
      <alignment horizontal="center"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0" fillId="2" borderId="28" xfId="0" applyFill="1" applyBorder="1" applyAlignment="1">
      <alignment horizontal="center" vertical="center"/>
    </xf>
    <xf numFmtId="9" fontId="1" fillId="2" borderId="20" xfId="0" applyNumberFormat="1" applyFont="1" applyFill="1" applyBorder="1" applyAlignment="1">
      <alignment horizontal="center" vertical="center"/>
    </xf>
    <xf numFmtId="3" fontId="4" fillId="4" borderId="20" xfId="0" applyNumberFormat="1" applyFont="1" applyFill="1" applyBorder="1" applyAlignment="1">
      <alignment horizontal="center" vertical="center"/>
    </xf>
    <xf numFmtId="3" fontId="13" fillId="9" borderId="20" xfId="0" applyNumberFormat="1" applyFont="1" applyFill="1" applyBorder="1" applyAlignment="1">
      <alignment horizontal="center" vertical="center"/>
    </xf>
    <xf numFmtId="0" fontId="1" fillId="10" borderId="20" xfId="0" applyFont="1" applyFill="1" applyBorder="1" applyAlignment="1">
      <alignment horizontal="center" vertical="center"/>
    </xf>
    <xf numFmtId="0" fontId="20" fillId="0" borderId="0" xfId="0" applyFont="1"/>
    <xf numFmtId="38" fontId="30" fillId="10" borderId="20" xfId="0" applyNumberFormat="1" applyFont="1" applyFill="1" applyBorder="1" applyAlignment="1">
      <alignment horizontal="center" vertical="center"/>
    </xf>
    <xf numFmtId="10" fontId="4" fillId="10" borderId="20" xfId="0" applyNumberFormat="1" applyFont="1" applyFill="1" applyBorder="1" applyAlignment="1">
      <alignment horizontal="left" vertical="center"/>
    </xf>
    <xf numFmtId="38" fontId="4" fillId="4" borderId="20" xfId="0" applyNumberFormat="1" applyFont="1" applyFill="1" applyBorder="1" applyAlignment="1">
      <alignment horizontal="center" vertical="center"/>
    </xf>
    <xf numFmtId="38" fontId="4" fillId="0" borderId="20" xfId="0" applyNumberFormat="1" applyFont="1" applyBorder="1" applyAlignment="1">
      <alignment horizontal="center" vertical="center"/>
    </xf>
    <xf numFmtId="0" fontId="8" fillId="4" borderId="20" xfId="0" applyFont="1" applyFill="1" applyBorder="1" applyAlignment="1">
      <alignment horizontal="center" vertical="center"/>
    </xf>
    <xf numFmtId="38" fontId="4" fillId="8" borderId="20" xfId="0" applyNumberFormat="1" applyFont="1" applyFill="1" applyBorder="1" applyAlignment="1">
      <alignment horizontal="center" vertical="center"/>
    </xf>
    <xf numFmtId="0" fontId="20" fillId="0" borderId="0" xfId="0" applyFont="1" applyAlignment="1">
      <alignment vertical="center"/>
    </xf>
    <xf numFmtId="0" fontId="30" fillId="0" borderId="0" xfId="0" applyFont="1"/>
    <xf numFmtId="0" fontId="31" fillId="0" borderId="0" xfId="0" applyFont="1" applyAlignment="1">
      <alignment horizontal="center" vertical="center"/>
    </xf>
    <xf numFmtId="3" fontId="4" fillId="0" borderId="20" xfId="0" applyNumberFormat="1" applyFont="1" applyBorder="1"/>
    <xf numFmtId="3" fontId="4" fillId="4" borderId="20" xfId="0" applyNumberFormat="1" applyFont="1" applyFill="1" applyBorder="1"/>
    <xf numFmtId="0" fontId="0" fillId="5" borderId="20" xfId="0" applyFill="1" applyBorder="1" applyAlignment="1">
      <alignment horizontal="center" vertical="center"/>
    </xf>
    <xf numFmtId="0" fontId="1" fillId="0" borderId="20" xfId="0" applyFont="1" applyBorder="1" applyAlignment="1">
      <alignment horizontal="center" vertical="center"/>
    </xf>
    <xf numFmtId="9" fontId="13" fillId="9" borderId="20" xfId="0" applyNumberFormat="1" applyFont="1" applyFill="1" applyBorder="1" applyAlignment="1">
      <alignment horizontal="center" vertical="center"/>
    </xf>
    <xf numFmtId="0" fontId="32" fillId="9" borderId="31" xfId="0" applyFont="1" applyFill="1" applyBorder="1" applyAlignment="1">
      <alignment horizontal="center" vertical="center"/>
    </xf>
    <xf numFmtId="0" fontId="5" fillId="0" borderId="29" xfId="0" applyFont="1" applyBorder="1" applyAlignment="1">
      <alignment horizontal="center" vertical="center"/>
    </xf>
    <xf numFmtId="0" fontId="23" fillId="0" borderId="0" xfId="0" applyFont="1" applyAlignment="1">
      <alignment horizontal="center" vertical="center"/>
    </xf>
    <xf numFmtId="0" fontId="28" fillId="9" borderId="31" xfId="0" applyFont="1" applyFill="1" applyBorder="1" applyAlignment="1">
      <alignment horizontal="center" vertical="center"/>
    </xf>
    <xf numFmtId="0" fontId="20" fillId="0" borderId="0" xfId="0" applyFont="1" applyAlignment="1">
      <alignment horizontal="left" vertical="center"/>
    </xf>
    <xf numFmtId="0" fontId="26" fillId="9" borderId="20" xfId="0" applyFont="1" applyFill="1" applyBorder="1" applyAlignment="1">
      <alignment horizontal="centerContinuous" vertical="center"/>
    </xf>
    <xf numFmtId="0" fontId="13" fillId="0" borderId="0" xfId="0" applyFont="1" applyAlignment="1">
      <alignment horizontal="right" vertical="center"/>
    </xf>
    <xf numFmtId="9" fontId="4" fillId="10" borderId="20" xfId="0" applyNumberFormat="1" applyFont="1" applyFill="1" applyBorder="1" applyAlignment="1">
      <alignment horizontal="center" vertical="center"/>
    </xf>
    <xf numFmtId="0" fontId="1" fillId="0" borderId="36" xfId="0" applyFont="1" applyBorder="1" applyAlignment="1">
      <alignment horizontal="center" vertical="center"/>
    </xf>
    <xf numFmtId="0" fontId="1" fillId="0" borderId="35" xfId="0" applyFont="1" applyBorder="1" applyAlignment="1">
      <alignment horizontal="center" vertical="center"/>
    </xf>
    <xf numFmtId="38" fontId="1" fillId="0" borderId="20" xfId="0" applyNumberFormat="1" applyFont="1" applyBorder="1" applyAlignment="1">
      <alignment horizontal="center" vertical="center"/>
    </xf>
    <xf numFmtId="3" fontId="1" fillId="0" borderId="20" xfId="0" applyNumberFormat="1" applyFont="1" applyBorder="1" applyAlignment="1">
      <alignment horizontal="center" vertical="center"/>
    </xf>
    <xf numFmtId="168" fontId="0" fillId="5" borderId="20" xfId="0" applyNumberFormat="1" applyFill="1" applyBorder="1" applyAlignment="1">
      <alignment horizontal="center" vertical="center"/>
    </xf>
    <xf numFmtId="9" fontId="33" fillId="5" borderId="20" xfId="0" applyNumberFormat="1" applyFont="1" applyFill="1" applyBorder="1" applyAlignment="1">
      <alignment horizontal="center" vertical="center"/>
    </xf>
    <xf numFmtId="0" fontId="1" fillId="4" borderId="20" xfId="0" applyFont="1" applyFill="1" applyBorder="1" applyAlignment="1">
      <alignment horizontal="left" vertical="center" indent="1"/>
    </xf>
    <xf numFmtId="0" fontId="0" fillId="0" borderId="20" xfId="0" applyBorder="1" applyAlignment="1">
      <alignment horizontal="left" vertical="center" wrapText="1" indent="1"/>
    </xf>
    <xf numFmtId="171" fontId="0" fillId="0" borderId="20" xfId="0" applyNumberFormat="1" applyBorder="1" applyAlignment="1">
      <alignment horizontal="center" vertical="center"/>
    </xf>
    <xf numFmtId="40" fontId="0" fillId="0" borderId="20" xfId="0" applyNumberFormat="1" applyBorder="1" applyAlignment="1">
      <alignment horizontal="center" vertical="center"/>
    </xf>
    <xf numFmtId="40" fontId="16" fillId="0" borderId="20" xfId="0" applyNumberFormat="1" applyFont="1" applyBorder="1" applyAlignment="1">
      <alignment horizontal="center" vertical="center"/>
    </xf>
    <xf numFmtId="40" fontId="0" fillId="5" borderId="20" xfId="0" applyNumberFormat="1" applyFill="1" applyBorder="1" applyAlignment="1">
      <alignment horizontal="center" vertical="center"/>
    </xf>
    <xf numFmtId="9" fontId="0" fillId="0" borderId="20" xfId="0" applyNumberFormat="1" applyBorder="1" applyAlignment="1">
      <alignment horizontal="center" vertical="center"/>
    </xf>
    <xf numFmtId="9" fontId="34" fillId="10" borderId="20" xfId="0" applyNumberFormat="1" applyFont="1" applyFill="1" applyBorder="1" applyAlignment="1">
      <alignment horizontal="center" vertical="center"/>
    </xf>
    <xf numFmtId="9" fontId="34" fillId="10" borderId="31" xfId="0" applyNumberFormat="1" applyFont="1" applyFill="1" applyBorder="1" applyAlignment="1">
      <alignment horizontal="center" vertical="center"/>
    </xf>
    <xf numFmtId="9" fontId="4" fillId="3" borderId="20" xfId="0" applyNumberFormat="1" applyFont="1" applyFill="1" applyBorder="1" applyAlignment="1">
      <alignment horizontal="center" vertical="center"/>
    </xf>
    <xf numFmtId="3" fontId="4" fillId="3" borderId="20" xfId="0" applyNumberFormat="1" applyFont="1" applyFill="1" applyBorder="1" applyAlignment="1">
      <alignment horizontal="center" vertical="center"/>
    </xf>
    <xf numFmtId="38" fontId="4" fillId="3" borderId="20" xfId="0" applyNumberFormat="1" applyFont="1" applyFill="1" applyBorder="1" applyAlignment="1">
      <alignment horizontal="center" vertical="center"/>
    </xf>
    <xf numFmtId="0" fontId="0" fillId="0" borderId="31" xfId="0"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33"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wrapText="1"/>
    </xf>
    <xf numFmtId="0" fontId="0" fillId="0" borderId="0" xfId="0" applyAlignment="1">
      <alignment horizontal="right" vertical="center"/>
    </xf>
    <xf numFmtId="3" fontId="33" fillId="5" borderId="20" xfId="0" applyNumberFormat="1" applyFont="1" applyFill="1" applyBorder="1" applyAlignment="1">
      <alignment horizontal="center" vertical="center"/>
    </xf>
    <xf numFmtId="10" fontId="0" fillId="0" borderId="0" xfId="0" applyNumberFormat="1" applyAlignment="1">
      <alignment horizontal="center" vertical="center"/>
    </xf>
    <xf numFmtId="10" fontId="5" fillId="3" borderId="20" xfId="0" applyNumberFormat="1" applyFont="1" applyFill="1" applyBorder="1" applyAlignment="1">
      <alignment horizontal="center" vertical="center"/>
    </xf>
    <xf numFmtId="171" fontId="0" fillId="0" borderId="0" xfId="0" applyNumberFormat="1" applyAlignment="1">
      <alignment horizontal="center" vertical="center"/>
    </xf>
    <xf numFmtId="3" fontId="0" fillId="0" borderId="0" xfId="0" applyNumberFormat="1" applyAlignment="1">
      <alignment horizontal="left" vertical="center"/>
    </xf>
    <xf numFmtId="0" fontId="0" fillId="0" borderId="0" xfId="0" applyAlignment="1">
      <alignment horizontal="left"/>
    </xf>
    <xf numFmtId="40" fontId="33" fillId="5" borderId="20" xfId="0" applyNumberFormat="1" applyFont="1" applyFill="1" applyBorder="1" applyAlignment="1">
      <alignment horizontal="center" vertical="center"/>
    </xf>
    <xf numFmtId="38" fontId="0" fillId="0" borderId="0" xfId="0" applyNumberFormat="1" applyAlignment="1">
      <alignment horizontal="left" vertical="center"/>
    </xf>
    <xf numFmtId="38" fontId="0" fillId="0" borderId="29" xfId="0" applyNumberFormat="1" applyBorder="1" applyAlignment="1">
      <alignment horizontal="center" vertical="center"/>
    </xf>
    <xf numFmtId="9" fontId="0" fillId="0" borderId="29" xfId="0" applyNumberFormat="1" applyBorder="1" applyAlignment="1">
      <alignment horizontal="left" vertical="center"/>
    </xf>
    <xf numFmtId="0" fontId="7" fillId="9" borderId="20" xfId="0" applyFont="1" applyFill="1" applyBorder="1" applyAlignment="1">
      <alignment horizontal="center" vertical="center" wrapText="1"/>
    </xf>
    <xf numFmtId="38" fontId="0" fillId="0" borderId="20" xfId="0" applyNumberFormat="1" applyBorder="1" applyAlignment="1">
      <alignment horizontal="left" vertical="center"/>
    </xf>
    <xf numFmtId="0" fontId="4" fillId="3" borderId="20" xfId="0" applyFont="1" applyFill="1" applyBorder="1" applyAlignment="1">
      <alignment horizontal="center" vertical="center" wrapText="1"/>
    </xf>
    <xf numFmtId="3" fontId="4" fillId="11" borderId="20" xfId="0" applyNumberFormat="1" applyFont="1" applyFill="1" applyBorder="1" applyAlignment="1">
      <alignment horizontal="center" vertical="center"/>
    </xf>
    <xf numFmtId="9" fontId="36" fillId="0" borderId="0" xfId="0" applyNumberFormat="1" applyFont="1" applyAlignment="1">
      <alignment horizontal="left" vertical="center"/>
    </xf>
    <xf numFmtId="38" fontId="37" fillId="0" borderId="0" xfId="0" applyNumberFormat="1" applyFont="1" applyAlignment="1">
      <alignment horizontal="center" vertical="center"/>
    </xf>
    <xf numFmtId="38" fontId="37" fillId="0" borderId="29" xfId="0" applyNumberFormat="1" applyFont="1" applyBorder="1" applyAlignment="1">
      <alignment horizontal="center" vertical="center"/>
    </xf>
    <xf numFmtId="9" fontId="36" fillId="0" borderId="29" xfId="0" applyNumberFormat="1" applyFont="1" applyBorder="1" applyAlignment="1">
      <alignment horizontal="left" vertical="center"/>
    </xf>
    <xf numFmtId="0" fontId="0" fillId="0" borderId="29" xfId="0" applyBorder="1"/>
    <xf numFmtId="38" fontId="38" fillId="5" borderId="20" xfId="0" applyNumberFormat="1" applyFont="1" applyFill="1" applyBorder="1" applyAlignment="1">
      <alignment horizontal="center" vertical="center"/>
    </xf>
    <xf numFmtId="0" fontId="5" fillId="0" borderId="0" xfId="0" applyFont="1" applyAlignment="1">
      <alignment horizontal="center" vertical="center"/>
    </xf>
    <xf numFmtId="3" fontId="1" fillId="4" borderId="20" xfId="0" applyNumberFormat="1" applyFont="1" applyFill="1" applyBorder="1" applyAlignment="1">
      <alignment horizontal="center" vertical="center"/>
    </xf>
    <xf numFmtId="38" fontId="0" fillId="0" borderId="0" xfId="0" applyNumberFormat="1"/>
    <xf numFmtId="168" fontId="0" fillId="0" borderId="0" xfId="0" applyNumberFormat="1"/>
    <xf numFmtId="168" fontId="0" fillId="0" borderId="0" xfId="0" applyNumberFormat="1" applyAlignment="1">
      <alignment horizontal="center" vertical="center"/>
    </xf>
    <xf numFmtId="168" fontId="0" fillId="0" borderId="29" xfId="0" applyNumberFormat="1" applyBorder="1" applyAlignment="1">
      <alignment horizontal="center" vertical="center"/>
    </xf>
    <xf numFmtId="0" fontId="37" fillId="0" borderId="0" xfId="0" applyFont="1" applyAlignment="1">
      <alignment horizontal="center" vertical="center"/>
    </xf>
    <xf numFmtId="0" fontId="37" fillId="0" borderId="29" xfId="0" applyFont="1" applyBorder="1" applyAlignment="1">
      <alignment horizontal="center" vertical="center"/>
    </xf>
    <xf numFmtId="0" fontId="39" fillId="0" borderId="0" xfId="0" applyFont="1"/>
    <xf numFmtId="38" fontId="1" fillId="4" borderId="20" xfId="0" applyNumberFormat="1" applyFont="1" applyFill="1" applyBorder="1" applyAlignment="1">
      <alignment horizontal="center" vertical="center"/>
    </xf>
    <xf numFmtId="0" fontId="0" fillId="0" borderId="28" xfId="0" applyBorder="1"/>
    <xf numFmtId="9" fontId="0" fillId="0" borderId="0" xfId="0" applyNumberFormat="1"/>
    <xf numFmtId="0" fontId="40" fillId="4" borderId="20" xfId="0" applyFont="1" applyFill="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35" xfId="0" applyFont="1" applyBorder="1" applyAlignment="1">
      <alignment horizontal="center" vertical="center"/>
    </xf>
    <xf numFmtId="0" fontId="26" fillId="4" borderId="20" xfId="0" applyFont="1" applyFill="1" applyBorder="1" applyAlignment="1">
      <alignment horizontal="center" vertical="center"/>
    </xf>
    <xf numFmtId="0" fontId="1" fillId="0" borderId="0" xfId="0" applyFont="1"/>
    <xf numFmtId="0" fontId="1" fillId="0" borderId="37" xfId="0" applyFont="1" applyBorder="1" applyAlignment="1">
      <alignment horizontal="center" vertical="center"/>
    </xf>
    <xf numFmtId="0" fontId="1" fillId="0" borderId="32" xfId="0" applyFont="1" applyBorder="1" applyAlignment="1">
      <alignment horizontal="centerContinuous" vertical="center"/>
    </xf>
    <xf numFmtId="0" fontId="1" fillId="0" borderId="33" xfId="0" applyFont="1" applyBorder="1" applyAlignment="1">
      <alignment horizontal="centerContinuous" vertical="center"/>
    </xf>
    <xf numFmtId="0" fontId="1" fillId="0" borderId="33" xfId="0" applyFont="1" applyBorder="1" applyAlignment="1">
      <alignment horizontal="center" vertical="center"/>
    </xf>
    <xf numFmtId="0" fontId="4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28" xfId="0" applyFont="1" applyBorder="1" applyAlignment="1">
      <alignment horizontal="center" vertical="center"/>
    </xf>
    <xf numFmtId="0" fontId="5" fillId="10" borderId="36" xfId="0" applyFont="1" applyFill="1" applyBorder="1" applyAlignment="1">
      <alignment horizontal="center" vertical="center"/>
    </xf>
    <xf numFmtId="0" fontId="5" fillId="10" borderId="35" xfId="0" applyFont="1" applyFill="1" applyBorder="1" applyAlignment="1">
      <alignment horizontal="center" vertical="center"/>
    </xf>
    <xf numFmtId="0" fontId="0" fillId="12" borderId="0" xfId="0" applyFill="1" applyAlignment="1">
      <alignment vertical="center"/>
    </xf>
    <xf numFmtId="0" fontId="0" fillId="12" borderId="27" xfId="0" applyFill="1" applyBorder="1" applyAlignment="1">
      <alignment vertical="center"/>
    </xf>
    <xf numFmtId="0" fontId="0" fillId="12" borderId="29" xfId="0" applyFill="1" applyBorder="1" applyAlignment="1">
      <alignment vertical="center"/>
    </xf>
    <xf numFmtId="0" fontId="0" fillId="12" borderId="30" xfId="0" applyFill="1" applyBorder="1" applyAlignment="1">
      <alignment vertical="center"/>
    </xf>
    <xf numFmtId="0" fontId="0" fillId="12" borderId="36" xfId="0" applyFill="1" applyBorder="1" applyAlignment="1">
      <alignment horizontal="center" vertical="center"/>
    </xf>
    <xf numFmtId="0" fontId="0" fillId="12" borderId="23" xfId="0" applyFill="1" applyBorder="1" applyAlignment="1">
      <alignment horizontal="centerContinuous" vertical="center"/>
    </xf>
    <xf numFmtId="0" fontId="0" fillId="12" borderId="25" xfId="0" applyFill="1" applyBorder="1" applyAlignment="1">
      <alignment horizontal="centerContinuous" vertical="center"/>
    </xf>
    <xf numFmtId="0" fontId="0" fillId="12" borderId="23" xfId="0" applyFill="1" applyBorder="1" applyAlignment="1">
      <alignment horizontal="centerContinuous" vertical="center" wrapText="1"/>
    </xf>
    <xf numFmtId="0" fontId="0" fillId="12" borderId="24" xfId="0" applyFill="1" applyBorder="1" applyAlignment="1">
      <alignment horizontal="centerContinuous" vertical="center" wrapText="1"/>
    </xf>
    <xf numFmtId="0" fontId="0" fillId="12" borderId="25" xfId="0" applyFill="1" applyBorder="1" applyAlignment="1">
      <alignment horizontal="centerContinuous" vertical="center" wrapText="1"/>
    </xf>
    <xf numFmtId="0" fontId="0" fillId="12" borderId="26" xfId="0" applyFill="1" applyBorder="1" applyAlignment="1">
      <alignment horizontal="left" vertical="center" indent="1"/>
    </xf>
    <xf numFmtId="0" fontId="0" fillId="12" borderId="28" xfId="0" applyFill="1" applyBorder="1" applyAlignment="1">
      <alignment horizontal="left" vertical="center" indent="1"/>
    </xf>
    <xf numFmtId="0" fontId="5" fillId="4" borderId="20" xfId="0" applyFont="1" applyFill="1" applyBorder="1" applyAlignment="1">
      <alignment horizontal="center" vertical="center" wrapText="1"/>
    </xf>
    <xf numFmtId="0" fontId="5" fillId="9" borderId="36" xfId="0" applyFont="1" applyFill="1" applyBorder="1" applyAlignment="1">
      <alignment horizontal="center" vertical="center"/>
    </xf>
    <xf numFmtId="0" fontId="5" fillId="9" borderId="35" xfId="0" applyFont="1" applyFill="1" applyBorder="1" applyAlignment="1">
      <alignment horizontal="center" vertical="center"/>
    </xf>
    <xf numFmtId="0" fontId="0" fillId="10" borderId="20" xfId="0" applyFill="1" applyBorder="1"/>
    <xf numFmtId="0" fontId="0" fillId="9" borderId="20" xfId="0" applyFill="1" applyBorder="1"/>
    <xf numFmtId="0" fontId="5" fillId="10" borderId="23" xfId="0" applyFont="1" applyFill="1" applyBorder="1" applyAlignment="1">
      <alignment horizontal="center" vertical="center"/>
    </xf>
    <xf numFmtId="0" fontId="5" fillId="10" borderId="28" xfId="0" applyFont="1" applyFill="1" applyBorder="1" applyAlignment="1">
      <alignment horizontal="center" vertical="center"/>
    </xf>
    <xf numFmtId="0" fontId="5" fillId="9" borderId="37" xfId="0" applyFont="1" applyFill="1" applyBorder="1" applyAlignment="1">
      <alignment horizontal="center" vertical="center"/>
    </xf>
    <xf numFmtId="0" fontId="0" fillId="10" borderId="20" xfId="0" applyFill="1" applyBorder="1" applyAlignment="1">
      <alignment horizontal="center" vertical="center"/>
    </xf>
    <xf numFmtId="0" fontId="1" fillId="9" borderId="35" xfId="0" applyFont="1" applyFill="1" applyBorder="1" applyAlignment="1">
      <alignment horizontal="center" vertical="center"/>
    </xf>
    <xf numFmtId="0" fontId="5" fillId="12" borderId="36" xfId="0" applyFont="1" applyFill="1" applyBorder="1" applyAlignment="1">
      <alignment horizontal="center" vertical="center"/>
    </xf>
    <xf numFmtId="0" fontId="5" fillId="12" borderId="35" xfId="0" applyFont="1" applyFill="1" applyBorder="1" applyAlignment="1">
      <alignment horizontal="center" vertical="center"/>
    </xf>
    <xf numFmtId="0" fontId="1" fillId="12" borderId="20" xfId="0" applyFont="1" applyFill="1" applyBorder="1" applyAlignment="1">
      <alignment horizontal="center" vertical="center"/>
    </xf>
    <xf numFmtId="0" fontId="3" fillId="0" borderId="0" xfId="0" applyFont="1" applyAlignment="1">
      <alignment horizontal="center" vertical="center"/>
    </xf>
    <xf numFmtId="0" fontId="19" fillId="0" borderId="31" xfId="0" applyFont="1" applyBorder="1"/>
    <xf numFmtId="0" fontId="3" fillId="0" borderId="32" xfId="0" applyFont="1" applyBorder="1"/>
    <xf numFmtId="0" fontId="3" fillId="0" borderId="33" xfId="0" applyFont="1" applyBorder="1"/>
    <xf numFmtId="0" fontId="42" fillId="4" borderId="31" xfId="0" applyFont="1" applyFill="1" applyBorder="1" applyAlignment="1">
      <alignment horizontal="left" vertical="top"/>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19" fillId="0" borderId="20" xfId="0" applyFont="1" applyBorder="1" applyAlignment="1">
      <alignment horizontal="center" vertical="center"/>
    </xf>
    <xf numFmtId="0" fontId="8" fillId="0" borderId="0" xfId="0" applyFont="1" applyAlignment="1">
      <alignment horizontal="right" vertical="center"/>
    </xf>
    <xf numFmtId="0" fontId="2" fillId="0" borderId="0" xfId="0" applyFont="1" applyAlignment="1">
      <alignment horizontal="left" vertical="center"/>
    </xf>
    <xf numFmtId="0" fontId="30" fillId="2" borderId="20" xfId="0" applyFont="1" applyFill="1" applyBorder="1" applyAlignment="1">
      <alignment horizontal="center" vertical="center"/>
    </xf>
    <xf numFmtId="2" fontId="0" fillId="0" borderId="20" xfId="0" applyNumberFormat="1" applyBorder="1" applyAlignment="1">
      <alignment horizontal="center" vertical="center"/>
    </xf>
    <xf numFmtId="169" fontId="0" fillId="0" borderId="0" xfId="0" applyNumberFormat="1" applyAlignment="1">
      <alignment horizontal="center" vertical="center"/>
    </xf>
    <xf numFmtId="0" fontId="13"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center" vertical="center"/>
    </xf>
    <xf numFmtId="0" fontId="41" fillId="0" borderId="0" xfId="0" applyFont="1" applyAlignment="1">
      <alignment horizontal="center" vertical="center"/>
    </xf>
    <xf numFmtId="0" fontId="41" fillId="4" borderId="35" xfId="0" applyFont="1" applyFill="1" applyBorder="1" applyAlignment="1">
      <alignment horizontal="center" vertical="center"/>
    </xf>
    <xf numFmtId="169" fontId="0" fillId="0" borderId="20" xfId="0" applyNumberFormat="1" applyBorder="1" applyAlignment="1">
      <alignment horizontal="center" vertical="center"/>
    </xf>
    <xf numFmtId="172" fontId="0" fillId="0" borderId="0" xfId="0" applyNumberFormat="1" applyAlignment="1">
      <alignment horizontal="center" vertical="center"/>
    </xf>
    <xf numFmtId="0" fontId="45" fillId="0" borderId="0" xfId="0" applyFont="1"/>
    <xf numFmtId="0" fontId="45" fillId="0" borderId="0" xfId="0" applyFont="1" applyAlignment="1">
      <alignment horizontal="right" vertical="center"/>
    </xf>
    <xf numFmtId="0" fontId="16" fillId="13" borderId="0" xfId="0" applyFont="1" applyFill="1"/>
    <xf numFmtId="0" fontId="0" fillId="13" borderId="0" xfId="0" applyFill="1"/>
    <xf numFmtId="3" fontId="1" fillId="0" borderId="0" xfId="0" applyNumberFormat="1" applyFont="1" applyAlignment="1">
      <alignment horizontal="center" vertical="center"/>
    </xf>
    <xf numFmtId="38" fontId="1" fillId="0" borderId="0" xfId="0" applyNumberFormat="1" applyFont="1" applyAlignment="1">
      <alignment horizontal="center" vertical="center"/>
    </xf>
    <xf numFmtId="9" fontId="7" fillId="9" borderId="20" xfId="0" applyNumberFormat="1" applyFont="1" applyFill="1" applyBorder="1" applyAlignment="1">
      <alignment horizontal="center" vertical="center"/>
    </xf>
    <xf numFmtId="0" fontId="0" fillId="14" borderId="20" xfId="0" applyFill="1" applyBorder="1" applyAlignment="1">
      <alignment horizontal="center" vertical="center"/>
    </xf>
    <xf numFmtId="0" fontId="0" fillId="14" borderId="20" xfId="0" applyFill="1" applyBorder="1" applyAlignment="1">
      <alignment horizontal="left" vertical="center" indent="1"/>
    </xf>
    <xf numFmtId="1" fontId="0" fillId="14" borderId="20" xfId="0" applyNumberFormat="1" applyFill="1" applyBorder="1" applyAlignment="1">
      <alignment horizontal="center" vertical="center"/>
    </xf>
    <xf numFmtId="3" fontId="0" fillId="14" borderId="35" xfId="0" applyNumberFormat="1" applyFill="1" applyBorder="1" applyAlignment="1">
      <alignment horizontal="center" vertical="center"/>
    </xf>
    <xf numFmtId="3" fontId="0" fillId="14" borderId="20" xfId="0" applyNumberFormat="1" applyFill="1" applyBorder="1" applyAlignment="1">
      <alignment horizontal="center" vertical="center"/>
    </xf>
    <xf numFmtId="171" fontId="0" fillId="14" borderId="20" xfId="0" applyNumberFormat="1" applyFill="1" applyBorder="1" applyAlignment="1">
      <alignment horizontal="center" vertical="center"/>
    </xf>
    <xf numFmtId="0" fontId="1" fillId="5" borderId="20" xfId="0" applyFont="1" applyFill="1" applyBorder="1" applyAlignment="1">
      <alignment horizontal="center" vertical="center"/>
    </xf>
    <xf numFmtId="0" fontId="4" fillId="14" borderId="20" xfId="0" applyFont="1" applyFill="1" applyBorder="1" applyAlignment="1">
      <alignment horizontal="center" vertical="center"/>
    </xf>
    <xf numFmtId="38" fontId="0" fillId="14" borderId="20" xfId="0" applyNumberFormat="1" applyFill="1" applyBorder="1" applyAlignment="1">
      <alignment horizontal="center" vertical="center"/>
    </xf>
    <xf numFmtId="0" fontId="0" fillId="14" borderId="20" xfId="0" applyFill="1" applyBorder="1" applyAlignment="1">
      <alignment horizontal="left" vertical="center" wrapText="1" indent="1"/>
    </xf>
    <xf numFmtId="168" fontId="0" fillId="14" borderId="20" xfId="0" applyNumberFormat="1" applyFill="1" applyBorder="1" applyAlignment="1">
      <alignment horizontal="center" vertical="center"/>
    </xf>
    <xf numFmtId="9" fontId="0" fillId="5" borderId="20" xfId="0" applyNumberFormat="1" applyFill="1" applyBorder="1" applyAlignment="1">
      <alignment horizontal="center" vertical="center"/>
    </xf>
    <xf numFmtId="9" fontId="0" fillId="15" borderId="0" xfId="0" applyNumberFormat="1" applyFill="1" applyAlignment="1">
      <alignment horizontal="left" vertical="center" indent="1"/>
    </xf>
    <xf numFmtId="38" fontId="0" fillId="15" borderId="0" xfId="0" applyNumberFormat="1" applyFill="1" applyAlignment="1">
      <alignment horizontal="left" vertical="center"/>
    </xf>
    <xf numFmtId="9" fontId="0" fillId="16" borderId="0" xfId="0" applyNumberFormat="1" applyFill="1" applyAlignment="1">
      <alignment horizontal="left" vertical="center" indent="1"/>
    </xf>
    <xf numFmtId="38" fontId="0" fillId="16" borderId="0" xfId="0" applyNumberFormat="1" applyFill="1" applyAlignment="1">
      <alignment horizontal="center" vertical="center"/>
    </xf>
    <xf numFmtId="38" fontId="0" fillId="16" borderId="0" xfId="0" applyNumberFormat="1" applyFill="1" applyAlignment="1">
      <alignment horizontal="left" vertical="center"/>
    </xf>
    <xf numFmtId="9" fontId="0" fillId="17" borderId="0" xfId="0" applyNumberFormat="1" applyFill="1" applyAlignment="1">
      <alignment horizontal="left" vertical="center" indent="1"/>
    </xf>
    <xf numFmtId="38" fontId="0" fillId="17" borderId="0" xfId="0" applyNumberFormat="1" applyFill="1" applyAlignment="1">
      <alignment horizontal="left" vertical="center"/>
    </xf>
    <xf numFmtId="9" fontId="0" fillId="0" borderId="0" xfId="0" applyNumberFormat="1" applyAlignment="1">
      <alignment horizontal="left" vertical="center"/>
    </xf>
    <xf numFmtId="0" fontId="0" fillId="15" borderId="0" xfId="0" applyFill="1" applyAlignment="1">
      <alignment horizontal="left" vertical="center" indent="1"/>
    </xf>
    <xf numFmtId="0" fontId="0" fillId="15" borderId="0" xfId="0" applyFill="1"/>
    <xf numFmtId="0" fontId="0" fillId="16" borderId="0" xfId="0" applyFill="1" applyAlignment="1">
      <alignment horizontal="left" vertical="center" indent="1"/>
    </xf>
    <xf numFmtId="0" fontId="0" fillId="17" borderId="0" xfId="0" applyFill="1" applyAlignment="1">
      <alignment horizontal="left" vertical="center" indent="1"/>
    </xf>
    <xf numFmtId="0" fontId="0" fillId="16" borderId="29" xfId="0" applyFill="1" applyBorder="1" applyAlignment="1">
      <alignment horizontal="left" vertical="center" indent="1"/>
    </xf>
    <xf numFmtId="9" fontId="0" fillId="16" borderId="29" xfId="0" applyNumberFormat="1" applyFill="1" applyBorder="1" applyAlignment="1">
      <alignment horizontal="left" vertical="center" indent="1"/>
    </xf>
    <xf numFmtId="38" fontId="0" fillId="16" borderId="29" xfId="0" applyNumberFormat="1" applyFill="1" applyBorder="1" applyAlignment="1">
      <alignment horizontal="center" vertical="center"/>
    </xf>
    <xf numFmtId="38" fontId="0" fillId="16" borderId="29" xfId="0" applyNumberFormat="1" applyFill="1" applyBorder="1" applyAlignment="1">
      <alignment horizontal="left" vertical="center"/>
    </xf>
    <xf numFmtId="38" fontId="46" fillId="15" borderId="0" xfId="0" applyNumberFormat="1" applyFont="1" applyFill="1" applyAlignment="1">
      <alignment horizontal="center" vertical="center"/>
    </xf>
    <xf numFmtId="38" fontId="46" fillId="16" borderId="0" xfId="0" applyNumberFormat="1" applyFont="1" applyFill="1" applyAlignment="1">
      <alignment horizontal="center" vertical="center"/>
    </xf>
    <xf numFmtId="38" fontId="46" fillId="17" borderId="0" xfId="0" applyNumberFormat="1" applyFont="1" applyFill="1" applyAlignment="1">
      <alignment horizontal="center" vertical="center"/>
    </xf>
    <xf numFmtId="0" fontId="0" fillId="18" borderId="20" xfId="0" applyFill="1" applyBorder="1" applyAlignment="1">
      <alignment horizontal="left" vertical="center" indent="1"/>
    </xf>
    <xf numFmtId="0" fontId="19" fillId="18" borderId="31" xfId="0" applyFont="1" applyFill="1" applyBorder="1"/>
    <xf numFmtId="0" fontId="3" fillId="18" borderId="32" xfId="0" applyFont="1" applyFill="1" applyBorder="1"/>
    <xf numFmtId="0" fontId="3" fillId="18" borderId="33" xfId="0" applyFont="1" applyFill="1" applyBorder="1"/>
    <xf numFmtId="168" fontId="3" fillId="18" borderId="20" xfId="0" applyNumberFormat="1" applyFont="1" applyFill="1" applyBorder="1" applyAlignment="1">
      <alignment horizontal="center" vertical="center"/>
    </xf>
    <xf numFmtId="0" fontId="47" fillId="0" borderId="0" xfId="0" applyFont="1"/>
    <xf numFmtId="0" fontId="46" fillId="0" borderId="0" xfId="0" applyFont="1" applyAlignment="1">
      <alignment vertical="center"/>
    </xf>
    <xf numFmtId="0" fontId="8" fillId="0" borderId="0" xfId="0" applyFont="1" applyAlignment="1">
      <alignment horizontal="left" vertical="center"/>
    </xf>
    <xf numFmtId="0" fontId="47" fillId="0" borderId="0" xfId="0" applyFont="1" applyAlignment="1">
      <alignment vertical="center"/>
    </xf>
    <xf numFmtId="0" fontId="15" fillId="0" borderId="0" xfId="0" applyFont="1" applyAlignment="1">
      <alignment vertical="center"/>
    </xf>
    <xf numFmtId="0" fontId="48" fillId="0" borderId="0" xfId="0" applyFont="1"/>
    <xf numFmtId="0" fontId="49" fillId="0" borderId="0" xfId="0" applyFont="1"/>
    <xf numFmtId="0" fontId="46" fillId="0" borderId="0" xfId="0" applyFont="1"/>
    <xf numFmtId="0" fontId="50" fillId="0" borderId="0" xfId="0" applyFont="1"/>
    <xf numFmtId="0" fontId="13" fillId="0" borderId="0" xfId="0" applyFont="1"/>
    <xf numFmtId="0" fontId="4" fillId="0" borderId="0" xfId="0" applyFont="1"/>
    <xf numFmtId="0" fontId="5" fillId="0" borderId="0" xfId="0" applyFont="1"/>
    <xf numFmtId="0" fontId="0" fillId="0" borderId="38" xfId="0" applyBorder="1"/>
    <xf numFmtId="9" fontId="13" fillId="4" borderId="31" xfId="0" applyNumberFormat="1" applyFont="1" applyFill="1" applyBorder="1" applyAlignment="1">
      <alignment horizontal="centerContinuous" vertical="center"/>
    </xf>
    <xf numFmtId="0" fontId="51" fillId="4" borderId="33" xfId="0" applyFont="1" applyFill="1" applyBorder="1" applyAlignment="1">
      <alignment horizontal="centerContinuous" vertical="center"/>
    </xf>
    <xf numFmtId="0" fontId="0" fillId="19" borderId="20" xfId="0" applyFill="1" applyBorder="1"/>
    <xf numFmtId="0" fontId="4" fillId="19" borderId="20" xfId="0" applyFont="1" applyFill="1" applyBorder="1"/>
    <xf numFmtId="0" fontId="4" fillId="0" borderId="38" xfId="0" applyFont="1" applyBorder="1"/>
    <xf numFmtId="0" fontId="4" fillId="0" borderId="39" xfId="0" applyFont="1" applyBorder="1"/>
    <xf numFmtId="0" fontId="4" fillId="0" borderId="29" xfId="0" applyFont="1" applyBorder="1"/>
    <xf numFmtId="3" fontId="4" fillId="0" borderId="0" xfId="0" applyNumberFormat="1" applyFont="1" applyAlignment="1">
      <alignment horizontal="left" vertical="center"/>
    </xf>
    <xf numFmtId="3" fontId="4" fillId="0" borderId="0" xfId="0" applyNumberFormat="1" applyFont="1" applyAlignment="1">
      <alignment horizontal="centerContinuous" vertical="center"/>
    </xf>
    <xf numFmtId="0" fontId="4" fillId="0" borderId="0" xfId="0" applyFont="1" applyAlignment="1">
      <alignment horizontal="centerContinuous" vertical="center"/>
    </xf>
    <xf numFmtId="10" fontId="13" fillId="4" borderId="31" xfId="0" applyNumberFormat="1" applyFont="1" applyFill="1" applyBorder="1" applyAlignment="1">
      <alignment horizontal="centerContinuous" vertical="center"/>
    </xf>
    <xf numFmtId="0" fontId="13" fillId="4" borderId="32" xfId="0" applyFont="1" applyFill="1" applyBorder="1" applyAlignment="1">
      <alignment horizontal="centerContinuous" vertical="center"/>
    </xf>
    <xf numFmtId="0" fontId="13" fillId="4" borderId="33" xfId="0" applyFont="1" applyFill="1" applyBorder="1" applyAlignment="1">
      <alignment horizontal="centerContinuous" vertical="center"/>
    </xf>
    <xf numFmtId="0" fontId="12" fillId="0" borderId="0" xfId="0" applyFont="1"/>
    <xf numFmtId="0" fontId="0" fillId="20" borderId="0" xfId="0" applyFill="1"/>
    <xf numFmtId="0" fontId="17" fillId="0" borderId="0" xfId="0" applyFont="1"/>
    <xf numFmtId="0" fontId="53" fillId="0" borderId="0" xfId="0" applyFont="1" applyAlignment="1">
      <alignment horizontal="left" vertical="center"/>
    </xf>
    <xf numFmtId="0" fontId="17" fillId="0" borderId="0" xfId="0" applyFont="1" applyAlignment="1">
      <alignment horizontal="centerContinuous" vertical="center"/>
    </xf>
    <xf numFmtId="0" fontId="0" fillId="0" borderId="0" xfId="0" applyAlignment="1">
      <alignment horizontal="centerContinuous" vertical="center"/>
    </xf>
    <xf numFmtId="0" fontId="17" fillId="8" borderId="0" xfId="0" applyFont="1" applyFill="1" applyAlignment="1">
      <alignment horizontal="centerContinuous" vertical="center"/>
    </xf>
    <xf numFmtId="0" fontId="54" fillId="0" borderId="0" xfId="0" applyFont="1" applyAlignment="1">
      <alignment horizontal="centerContinuous" vertical="center"/>
    </xf>
    <xf numFmtId="0" fontId="54" fillId="0" borderId="0" xfId="0" applyFont="1" applyAlignment="1">
      <alignment horizontal="center" vertical="center"/>
    </xf>
    <xf numFmtId="0" fontId="9" fillId="14" borderId="40" xfId="0" applyFont="1" applyFill="1" applyBorder="1" applyAlignment="1">
      <alignment horizontal="centerContinuous" vertical="center" wrapText="1"/>
    </xf>
    <xf numFmtId="0" fontId="9" fillId="14" borderId="41" xfId="0" applyFont="1" applyFill="1" applyBorder="1" applyAlignment="1">
      <alignment horizontal="centerContinuous" vertical="center" wrapText="1"/>
    </xf>
    <xf numFmtId="0" fontId="9" fillId="14" borderId="42" xfId="0" applyFont="1" applyFill="1" applyBorder="1" applyAlignment="1">
      <alignment horizontal="centerContinuous" vertical="center" wrapText="1"/>
    </xf>
    <xf numFmtId="0" fontId="55" fillId="0" borderId="0" xfId="0" applyFont="1" applyAlignment="1">
      <alignment wrapText="1"/>
    </xf>
    <xf numFmtId="0" fontId="9" fillId="18" borderId="40" xfId="0" applyFont="1" applyFill="1" applyBorder="1" applyAlignment="1">
      <alignment horizontal="centerContinuous" vertical="center" wrapText="1"/>
    </xf>
    <xf numFmtId="0" fontId="9" fillId="18" borderId="41" xfId="0" applyFont="1" applyFill="1" applyBorder="1" applyAlignment="1">
      <alignment horizontal="centerContinuous" vertical="center" wrapText="1"/>
    </xf>
    <xf numFmtId="0" fontId="9" fillId="18" borderId="42" xfId="0" applyFont="1" applyFill="1" applyBorder="1" applyAlignment="1">
      <alignment horizontal="centerContinuous" vertical="center" wrapText="1"/>
    </xf>
    <xf numFmtId="0" fontId="9" fillId="3" borderId="40" xfId="0" applyFont="1" applyFill="1" applyBorder="1" applyAlignment="1">
      <alignment horizontal="centerContinuous" vertical="center" wrapText="1"/>
    </xf>
    <xf numFmtId="0" fontId="9" fillId="3" borderId="41" xfId="0" applyFont="1" applyFill="1" applyBorder="1" applyAlignment="1">
      <alignment horizontal="centerContinuous" vertical="center" wrapText="1"/>
    </xf>
    <xf numFmtId="0" fontId="9" fillId="3" borderId="42" xfId="0" applyFont="1" applyFill="1" applyBorder="1" applyAlignment="1">
      <alignment horizontal="centerContinuous" vertical="center" wrapText="1"/>
    </xf>
    <xf numFmtId="0" fontId="9" fillId="4" borderId="40" xfId="0" applyFont="1" applyFill="1" applyBorder="1" applyAlignment="1">
      <alignment horizontal="centerContinuous" vertical="center" wrapText="1"/>
    </xf>
    <xf numFmtId="0" fontId="9" fillId="4" borderId="41" xfId="0" applyFont="1" applyFill="1" applyBorder="1" applyAlignment="1">
      <alignment horizontal="centerContinuous" vertical="center" wrapText="1"/>
    </xf>
    <xf numFmtId="0" fontId="9" fillId="4" borderId="42" xfId="0" applyFont="1" applyFill="1" applyBorder="1" applyAlignment="1">
      <alignment horizontal="centerContinuous" vertical="center" wrapText="1"/>
    </xf>
    <xf numFmtId="0" fontId="9" fillId="21" borderId="40" xfId="0" applyFont="1" applyFill="1" applyBorder="1" applyAlignment="1">
      <alignment horizontal="centerContinuous" vertical="center" wrapText="1"/>
    </xf>
    <xf numFmtId="0" fontId="9" fillId="21" borderId="41" xfId="0" applyFont="1" applyFill="1" applyBorder="1" applyAlignment="1">
      <alignment horizontal="centerContinuous" vertical="center" wrapText="1"/>
    </xf>
    <xf numFmtId="0" fontId="9" fillId="21" borderId="42" xfId="0" applyFont="1" applyFill="1" applyBorder="1" applyAlignment="1">
      <alignment horizontal="centerContinuous" vertical="center" wrapText="1"/>
    </xf>
    <xf numFmtId="0" fontId="9" fillId="22" borderId="40" xfId="0" applyFont="1" applyFill="1" applyBorder="1" applyAlignment="1">
      <alignment horizontal="centerContinuous" vertical="center" wrapText="1"/>
    </xf>
    <xf numFmtId="0" fontId="9" fillId="22" borderId="41" xfId="0" applyFont="1" applyFill="1" applyBorder="1" applyAlignment="1">
      <alignment horizontal="centerContinuous" vertical="center" wrapText="1"/>
    </xf>
    <xf numFmtId="0" fontId="9" fillId="22" borderId="42" xfId="0" applyFont="1" applyFill="1" applyBorder="1" applyAlignment="1">
      <alignment horizontal="centerContinuous" vertical="center" wrapText="1"/>
    </xf>
    <xf numFmtId="0" fontId="9" fillId="3" borderId="31" xfId="0" applyFont="1" applyFill="1" applyBorder="1" applyAlignment="1">
      <alignment horizontal="centerContinuous" vertical="center" wrapText="1"/>
    </xf>
    <xf numFmtId="0" fontId="9" fillId="3" borderId="32" xfId="0" applyFont="1" applyFill="1" applyBorder="1" applyAlignment="1">
      <alignment horizontal="centerContinuous" vertical="center" wrapText="1"/>
    </xf>
    <xf numFmtId="0" fontId="9" fillId="3" borderId="33" xfId="0" applyFont="1" applyFill="1" applyBorder="1" applyAlignment="1">
      <alignment horizontal="centerContinuous" vertical="center" wrapText="1"/>
    </xf>
    <xf numFmtId="0" fontId="55" fillId="0" borderId="0" xfId="0" applyFont="1"/>
    <xf numFmtId="0" fontId="9" fillId="4" borderId="31" xfId="0" applyFont="1" applyFill="1" applyBorder="1" applyAlignment="1">
      <alignment horizontal="centerContinuous" vertical="center" wrapText="1"/>
    </xf>
    <xf numFmtId="0" fontId="9" fillId="4" borderId="32" xfId="0" applyFont="1" applyFill="1" applyBorder="1" applyAlignment="1">
      <alignment horizontal="centerContinuous" vertical="center"/>
    </xf>
    <xf numFmtId="0" fontId="9" fillId="4" borderId="33" xfId="0" applyFont="1" applyFill="1" applyBorder="1" applyAlignment="1">
      <alignment horizontal="centerContinuous" vertical="center"/>
    </xf>
    <xf numFmtId="0" fontId="9" fillId="21" borderId="31" xfId="0" applyFont="1" applyFill="1" applyBorder="1" applyAlignment="1">
      <alignment horizontal="centerContinuous" vertical="center" wrapText="1"/>
    </xf>
    <xf numFmtId="0" fontId="9" fillId="21" borderId="32" xfId="0" applyFont="1" applyFill="1" applyBorder="1" applyAlignment="1">
      <alignment horizontal="centerContinuous" vertical="center"/>
    </xf>
    <xf numFmtId="0" fontId="9" fillId="21" borderId="33" xfId="0" applyFont="1" applyFill="1" applyBorder="1" applyAlignment="1">
      <alignment horizontal="centerContinuous" vertical="center"/>
    </xf>
    <xf numFmtId="0" fontId="9" fillId="22" borderId="31" xfId="0" applyFont="1" applyFill="1" applyBorder="1" applyAlignment="1">
      <alignment horizontal="centerContinuous" vertical="center" wrapText="1"/>
    </xf>
    <xf numFmtId="0" fontId="9" fillId="22" borderId="32" xfId="0" applyFont="1" applyFill="1" applyBorder="1" applyAlignment="1">
      <alignment horizontal="centerContinuous" vertical="center"/>
    </xf>
    <xf numFmtId="0" fontId="9" fillId="22" borderId="33" xfId="0" applyFont="1" applyFill="1" applyBorder="1" applyAlignment="1">
      <alignment horizontal="centerContinuous" vertical="center"/>
    </xf>
    <xf numFmtId="0" fontId="20" fillId="0" borderId="31" xfId="0" applyFont="1" applyBorder="1" applyAlignment="1">
      <alignment horizontal="centerContinuous" wrapText="1"/>
    </xf>
    <xf numFmtId="0" fontId="20" fillId="0" borderId="32" xfId="0" applyFont="1" applyBorder="1" applyAlignment="1">
      <alignment horizontal="centerContinuous" wrapText="1"/>
    </xf>
    <xf numFmtId="0" fontId="20" fillId="0" borderId="33" xfId="0" applyFont="1" applyBorder="1" applyAlignment="1">
      <alignment horizontal="centerContinuous" wrapText="1"/>
    </xf>
    <xf numFmtId="0" fontId="9" fillId="0" borderId="32" xfId="0" applyFont="1" applyBorder="1" applyAlignment="1">
      <alignment horizontal="centerContinuous" wrapText="1"/>
    </xf>
    <xf numFmtId="0" fontId="9" fillId="0" borderId="33" xfId="0" applyFont="1" applyBorder="1" applyAlignment="1">
      <alignment horizontal="centerContinuous" wrapText="1"/>
    </xf>
    <xf numFmtId="0" fontId="9" fillId="18" borderId="31" xfId="0" applyFont="1" applyFill="1" applyBorder="1" applyAlignment="1">
      <alignment horizontal="centerContinuous" vertical="center" wrapText="1"/>
    </xf>
    <xf numFmtId="0" fontId="9" fillId="18" borderId="32" xfId="0" applyFont="1" applyFill="1" applyBorder="1" applyAlignment="1">
      <alignment horizontal="centerContinuous" vertical="center" wrapText="1"/>
    </xf>
    <xf numFmtId="0" fontId="9" fillId="18" borderId="33" xfId="0" applyFont="1" applyFill="1" applyBorder="1" applyAlignment="1">
      <alignment horizontal="centerContinuous" vertical="center" wrapText="1"/>
    </xf>
    <xf numFmtId="0" fontId="15" fillId="0" borderId="32" xfId="0" applyFont="1" applyBorder="1" applyAlignment="1">
      <alignment horizontal="centerContinuous" wrapText="1"/>
    </xf>
    <xf numFmtId="0" fontId="15" fillId="0" borderId="43" xfId="0" applyFont="1" applyBorder="1" applyAlignment="1">
      <alignment horizontal="centerContinuous" wrapText="1"/>
    </xf>
    <xf numFmtId="0" fontId="9" fillId="8" borderId="33" xfId="0" applyFont="1" applyFill="1" applyBorder="1" applyAlignment="1">
      <alignment horizontal="centerContinuous" wrapText="1"/>
    </xf>
    <xf numFmtId="0" fontId="56" fillId="0" borderId="0" xfId="0" applyFont="1" applyAlignment="1">
      <alignment horizontal="centerContinuous" vertical="center"/>
    </xf>
    <xf numFmtId="0" fontId="57" fillId="0" borderId="0" xfId="0" applyFont="1"/>
    <xf numFmtId="0" fontId="15" fillId="0" borderId="0" xfId="0" applyFont="1" applyAlignment="1">
      <alignment horizontal="centerContinuous" vertical="center" wrapText="1"/>
    </xf>
    <xf numFmtId="0" fontId="9" fillId="0" borderId="40" xfId="0" applyFont="1" applyBorder="1" applyAlignment="1">
      <alignment horizontal="centerContinuous" wrapText="1"/>
    </xf>
    <xf numFmtId="0" fontId="9" fillId="0" borderId="41" xfId="0" applyFont="1" applyBorder="1" applyAlignment="1">
      <alignment horizontal="centerContinuous" wrapText="1"/>
    </xf>
    <xf numFmtId="0" fontId="9" fillId="0" borderId="42" xfId="0" applyFont="1" applyBorder="1" applyAlignment="1">
      <alignment horizontal="centerContinuous" wrapText="1"/>
    </xf>
    <xf numFmtId="0" fontId="56" fillId="0" borderId="31" xfId="0" applyFont="1" applyBorder="1" applyAlignment="1">
      <alignment horizontal="centerContinuous" wrapText="1"/>
    </xf>
    <xf numFmtId="0" fontId="15" fillId="0" borderId="33" xfId="0" applyFont="1" applyBorder="1" applyAlignment="1">
      <alignment horizontal="centerContinuous" wrapText="1"/>
    </xf>
    <xf numFmtId="0" fontId="20" fillId="0" borderId="31" xfId="0" applyFont="1" applyBorder="1" applyAlignment="1">
      <alignment horizontal="centerContinuous"/>
    </xf>
    <xf numFmtId="0" fontId="15" fillId="0" borderId="32" xfId="0" applyFont="1" applyBorder="1" applyAlignment="1">
      <alignment horizontal="centerContinuous"/>
    </xf>
    <xf numFmtId="0" fontId="15" fillId="0" borderId="33" xfId="0" applyFont="1" applyBorder="1" applyAlignment="1">
      <alignment horizontal="centerContinuous"/>
    </xf>
    <xf numFmtId="0" fontId="9" fillId="0" borderId="31" xfId="0" applyFont="1" applyBorder="1" applyAlignment="1">
      <alignment horizontal="centerContinuous"/>
    </xf>
    <xf numFmtId="0" fontId="20" fillId="0" borderId="32" xfId="0" applyFont="1" applyBorder="1" applyAlignment="1">
      <alignment horizontal="centerContinuous"/>
    </xf>
    <xf numFmtId="0" fontId="20" fillId="0" borderId="33" xfId="0" applyFont="1" applyBorder="1" applyAlignment="1">
      <alignment horizontal="centerContinuous"/>
    </xf>
    <xf numFmtId="0" fontId="9" fillId="8" borderId="43" xfId="0" applyFont="1" applyFill="1" applyBorder="1" applyAlignment="1">
      <alignment horizontal="centerContinuous" wrapText="1"/>
    </xf>
    <xf numFmtId="0" fontId="16" fillId="0" borderId="0" xfId="0" applyFont="1"/>
    <xf numFmtId="0" fontId="56" fillId="0" borderId="0" xfId="0" applyFont="1" applyAlignment="1">
      <alignment horizontal="centerContinuous" vertical="center" wrapText="1"/>
    </xf>
    <xf numFmtId="0" fontId="0" fillId="0" borderId="0" xfId="0" applyAlignment="1">
      <alignment wrapText="1"/>
    </xf>
    <xf numFmtId="0" fontId="5" fillId="0" borderId="0" xfId="0" applyFont="1" applyAlignment="1">
      <alignment horizontal="center" vertical="center" wrapText="1"/>
    </xf>
    <xf numFmtId="0" fontId="58" fillId="0" borderId="0" xfId="0" applyFont="1" applyAlignment="1">
      <alignment horizontal="left" vertical="center"/>
    </xf>
    <xf numFmtId="0" fontId="0" fillId="0" borderId="44" xfId="0" applyBorder="1"/>
    <xf numFmtId="0" fontId="0" fillId="0" borderId="48"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23" borderId="41" xfId="0" applyFill="1"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59" fillId="0" borderId="50" xfId="0" applyFont="1" applyBorder="1" applyAlignment="1">
      <alignment horizontal="center"/>
    </xf>
    <xf numFmtId="0" fontId="59" fillId="0" borderId="51" xfId="0" applyFont="1" applyBorder="1" applyAlignment="1">
      <alignment horizontal="center"/>
    </xf>
    <xf numFmtId="0" fontId="59" fillId="23" borderId="51" xfId="0" applyFont="1" applyFill="1" applyBorder="1" applyAlignment="1">
      <alignment horizontal="center"/>
    </xf>
    <xf numFmtId="0" fontId="59" fillId="0" borderId="52" xfId="0" applyFont="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0" fillId="2" borderId="32" xfId="0" applyFill="1" applyBorder="1" applyAlignment="1">
      <alignment horizontal="center"/>
    </xf>
    <xf numFmtId="0" fontId="0" fillId="2" borderId="43" xfId="0" applyFill="1" applyBorder="1" applyAlignment="1">
      <alignment horizontal="center"/>
    </xf>
    <xf numFmtId="0" fontId="0" fillId="23" borderId="32" xfId="0" applyFill="1"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24" borderId="32"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xf numFmtId="0" fontId="0" fillId="2" borderId="57" xfId="0" applyFill="1" applyBorder="1" applyAlignment="1">
      <alignment horizontal="center"/>
    </xf>
    <xf numFmtId="0" fontId="0" fillId="2" borderId="58" xfId="0" applyFill="1" applyBorder="1" applyAlignment="1">
      <alignment horizontal="center"/>
    </xf>
    <xf numFmtId="0" fontId="0" fillId="23" borderId="57" xfId="0" applyFill="1" applyBorder="1" applyAlignment="1">
      <alignment horizontal="center"/>
    </xf>
    <xf numFmtId="0" fontId="5" fillId="23" borderId="20" xfId="0" applyFont="1" applyFill="1" applyBorder="1" applyAlignment="1">
      <alignment horizontal="center" vertical="center"/>
    </xf>
    <xf numFmtId="0" fontId="19" fillId="0" borderId="0" xfId="0" applyFont="1" applyAlignment="1">
      <alignment horizontal="left" vertical="center"/>
    </xf>
    <xf numFmtId="168" fontId="13" fillId="4" borderId="20" xfId="0" applyNumberFormat="1" applyFont="1" applyFill="1" applyBorder="1" applyAlignment="1">
      <alignment horizontal="center" vertical="center"/>
    </xf>
    <xf numFmtId="3" fontId="13" fillId="4" borderId="20" xfId="0" applyNumberFormat="1" applyFont="1" applyFill="1" applyBorder="1" applyAlignment="1">
      <alignment horizontal="center" vertical="center"/>
    </xf>
    <xf numFmtId="0" fontId="47" fillId="25" borderId="20" xfId="0" applyFont="1" applyFill="1" applyBorder="1" applyAlignment="1">
      <alignment horizontal="center" vertical="center"/>
    </xf>
    <xf numFmtId="0" fontId="9" fillId="0" borderId="0" xfId="0" applyFont="1"/>
    <xf numFmtId="0" fontId="12" fillId="0" borderId="0" xfId="0" applyFont="1" applyAlignment="1">
      <alignment horizontal="left" vertical="center" indent="1"/>
    </xf>
    <xf numFmtId="0" fontId="5" fillId="18" borderId="36" xfId="0" applyFont="1" applyFill="1" applyBorder="1" applyAlignment="1">
      <alignment horizontal="center" vertical="center"/>
    </xf>
    <xf numFmtId="0" fontId="5" fillId="18" borderId="24" xfId="0" applyFont="1" applyFill="1" applyBorder="1" applyAlignment="1">
      <alignment horizontal="left" vertical="center" indent="1"/>
    </xf>
    <xf numFmtId="0" fontId="0" fillId="18" borderId="24" xfId="0" applyFill="1" applyBorder="1"/>
    <xf numFmtId="0" fontId="0" fillId="18" borderId="25" xfId="0" applyFill="1" applyBorder="1"/>
    <xf numFmtId="0" fontId="5" fillId="18" borderId="37" xfId="0" applyFont="1" applyFill="1" applyBorder="1" applyAlignment="1">
      <alignment horizontal="center" vertical="center"/>
    </xf>
    <xf numFmtId="0" fontId="0" fillId="18" borderId="0" xfId="0" applyFill="1"/>
    <xf numFmtId="0" fontId="0" fillId="18" borderId="27" xfId="0" applyFill="1" applyBorder="1"/>
    <xf numFmtId="0" fontId="0" fillId="18" borderId="0" xfId="0" applyFill="1" applyAlignment="1">
      <alignment horizontal="left" vertical="center" indent="1"/>
    </xf>
    <xf numFmtId="0" fontId="5" fillId="18" borderId="35" xfId="0" applyFont="1" applyFill="1" applyBorder="1" applyAlignment="1">
      <alignment horizontal="center" vertical="center"/>
    </xf>
    <xf numFmtId="0" fontId="0" fillId="18" borderId="29" xfId="0" applyFill="1" applyBorder="1" applyAlignment="1">
      <alignment horizontal="left" vertical="center" indent="1"/>
    </xf>
    <xf numFmtId="0" fontId="0" fillId="18" borderId="29" xfId="0" applyFill="1" applyBorder="1"/>
    <xf numFmtId="0" fontId="0" fillId="18" borderId="30" xfId="0" applyFill="1" applyBorder="1"/>
    <xf numFmtId="0" fontId="0" fillId="0" borderId="37" xfId="0" applyBorder="1" applyAlignment="1">
      <alignment horizontal="center" vertical="center"/>
    </xf>
    <xf numFmtId="0" fontId="2" fillId="0" borderId="20" xfId="0" applyFont="1" applyBorder="1" applyAlignment="1">
      <alignment horizontal="center" vertical="center"/>
    </xf>
    <xf numFmtId="0" fontId="60" fillId="26" borderId="20" xfId="0" applyFont="1" applyFill="1" applyBorder="1" applyAlignment="1">
      <alignment horizontal="center" vertical="center"/>
    </xf>
    <xf numFmtId="0" fontId="61" fillId="4" borderId="20" xfId="0" applyFont="1" applyFill="1" applyBorder="1" applyAlignment="1">
      <alignment horizontal="center" vertical="center" wrapText="1"/>
    </xf>
    <xf numFmtId="0" fontId="62" fillId="0" borderId="20" xfId="0" applyFont="1" applyBorder="1" applyAlignment="1">
      <alignment horizontal="left" vertical="center" wrapText="1" indent="1"/>
    </xf>
    <xf numFmtId="0" fontId="0" fillId="0" borderId="0" xfId="0" applyAlignment="1">
      <alignment horizontal="left" vertical="center" wrapText="1" indent="1"/>
    </xf>
    <xf numFmtId="0" fontId="60" fillId="27" borderId="20" xfId="0" applyFont="1" applyFill="1" applyBorder="1" applyAlignment="1">
      <alignment horizontal="center" vertical="center"/>
    </xf>
    <xf numFmtId="0" fontId="60" fillId="28" borderId="20" xfId="0" applyFont="1" applyFill="1" applyBorder="1" applyAlignment="1">
      <alignment horizontal="center" vertical="center"/>
    </xf>
    <xf numFmtId="0" fontId="5" fillId="4" borderId="31" xfId="0" applyFont="1" applyFill="1" applyBorder="1" applyAlignment="1">
      <alignment horizontal="center" vertical="center" wrapText="1"/>
    </xf>
    <xf numFmtId="0" fontId="0" fillId="12" borderId="31" xfId="0" applyFill="1" applyBorder="1"/>
    <xf numFmtId="0" fontId="0" fillId="12" borderId="32" xfId="0" applyFill="1" applyBorder="1" applyAlignment="1">
      <alignment vertical="center"/>
    </xf>
    <xf numFmtId="0" fontId="0" fillId="12" borderId="33" xfId="0" applyFill="1" applyBorder="1"/>
    <xf numFmtId="0" fontId="63" fillId="4" borderId="20" xfId="0" applyFont="1" applyFill="1" applyBorder="1" applyAlignment="1">
      <alignment horizontal="center" vertical="center"/>
    </xf>
    <xf numFmtId="0" fontId="0" fillId="12" borderId="26" xfId="0" applyFill="1" applyBorder="1" applyAlignment="1">
      <alignment vertical="center"/>
    </xf>
    <xf numFmtId="0" fontId="0" fillId="12" borderId="27" xfId="0" applyFill="1" applyBorder="1"/>
    <xf numFmtId="0" fontId="16" fillId="12" borderId="26" xfId="0" applyFont="1" applyFill="1" applyBorder="1" applyAlignment="1">
      <alignment horizontal="left" vertical="center"/>
    </xf>
    <xf numFmtId="0" fontId="0" fillId="12" borderId="28" xfId="0" applyFill="1" applyBorder="1" applyAlignment="1">
      <alignment vertical="center"/>
    </xf>
    <xf numFmtId="0" fontId="0" fillId="12" borderId="29" xfId="0" applyFill="1" applyBorder="1"/>
    <xf numFmtId="0" fontId="0" fillId="12" borderId="30" xfId="0" applyFill="1" applyBorder="1"/>
    <xf numFmtId="0" fontId="47" fillId="2" borderId="59" xfId="0" applyFont="1" applyFill="1" applyBorder="1" applyAlignment="1">
      <alignment horizontal="centerContinuous" vertical="center"/>
    </xf>
    <xf numFmtId="0" fontId="47" fillId="2" borderId="60" xfId="0" applyFont="1" applyFill="1" applyBorder="1" applyAlignment="1">
      <alignment horizontal="centerContinuous" vertical="center"/>
    </xf>
    <xf numFmtId="0" fontId="47" fillId="2" borderId="61" xfId="0" applyFont="1" applyFill="1" applyBorder="1" applyAlignment="1">
      <alignment horizontal="centerContinuous" vertical="center"/>
    </xf>
    <xf numFmtId="0" fontId="1" fillId="2" borderId="59" xfId="0" applyFont="1" applyFill="1" applyBorder="1" applyAlignment="1">
      <alignment horizontal="centerContinuous" vertical="center"/>
    </xf>
    <xf numFmtId="0" fontId="1" fillId="2" borderId="61" xfId="0" applyFont="1" applyFill="1" applyBorder="1" applyAlignment="1">
      <alignment horizontal="centerContinuous" vertical="center"/>
    </xf>
    <xf numFmtId="0" fontId="5" fillId="18" borderId="62" xfId="0" applyFont="1" applyFill="1" applyBorder="1" applyAlignment="1">
      <alignment horizontal="center" vertical="center"/>
    </xf>
    <xf numFmtId="0" fontId="47" fillId="29" borderId="59" xfId="0" applyFont="1" applyFill="1" applyBorder="1" applyAlignment="1">
      <alignment horizontal="centerContinuous" vertical="center"/>
    </xf>
    <xf numFmtId="0" fontId="47" fillId="29" borderId="60" xfId="0" applyFont="1" applyFill="1" applyBorder="1" applyAlignment="1">
      <alignment horizontal="centerContinuous" vertical="center"/>
    </xf>
    <xf numFmtId="0" fontId="47" fillId="29" borderId="61" xfId="0" applyFont="1" applyFill="1" applyBorder="1" applyAlignment="1">
      <alignment horizontal="centerContinuous" vertical="center"/>
    </xf>
    <xf numFmtId="1" fontId="5" fillId="2" borderId="62" xfId="0" applyNumberFormat="1" applyFont="1" applyFill="1" applyBorder="1" applyAlignment="1">
      <alignment horizontal="center" wrapText="1"/>
    </xf>
    <xf numFmtId="0" fontId="0" fillId="0" borderId="62" xfId="0" applyBorder="1" applyAlignment="1">
      <alignment horizontal="center" vertical="center"/>
    </xf>
    <xf numFmtId="0" fontId="0" fillId="0" borderId="62" xfId="0" applyBorder="1" applyAlignment="1">
      <alignment horizontal="left" vertical="center" wrapText="1" indent="1"/>
    </xf>
    <xf numFmtId="173" fontId="12" fillId="0" borderId="62" xfId="0" applyNumberFormat="1" applyFont="1" applyBorder="1" applyAlignment="1">
      <alignment horizontal="center" vertical="center"/>
    </xf>
    <xf numFmtId="38" fontId="1" fillId="0" borderId="62" xfId="0" applyNumberFormat="1" applyFont="1" applyBorder="1" applyAlignment="1">
      <alignment horizontal="center" vertical="center"/>
    </xf>
    <xf numFmtId="3" fontId="65" fillId="0" borderId="62" xfId="0" applyNumberFormat="1" applyFont="1" applyBorder="1" applyAlignment="1">
      <alignment horizontal="left" vertical="center" wrapText="1" indent="1"/>
    </xf>
    <xf numFmtId="8" fontId="1" fillId="25" borderId="62" xfId="0" applyNumberFormat="1" applyFont="1" applyFill="1" applyBorder="1" applyAlignment="1">
      <alignment horizontal="center" vertical="center"/>
    </xf>
    <xf numFmtId="1" fontId="19" fillId="0" borderId="62" xfId="0" applyNumberFormat="1" applyFont="1" applyBorder="1" applyAlignment="1">
      <alignment horizontal="center" vertical="center"/>
    </xf>
    <xf numFmtId="1" fontId="15" fillId="2" borderId="62" xfId="0" applyNumberFormat="1" applyFont="1" applyFill="1" applyBorder="1" applyAlignment="1">
      <alignment horizontal="center" vertical="center"/>
    </xf>
    <xf numFmtId="1" fontId="8" fillId="0" borderId="62" xfId="0" applyNumberFormat="1" applyFont="1" applyBorder="1" applyAlignment="1">
      <alignment horizontal="center" vertical="center"/>
    </xf>
    <xf numFmtId="1" fontId="4" fillId="0" borderId="62" xfId="0" applyNumberFormat="1" applyFont="1" applyBorder="1" applyAlignment="1">
      <alignment horizontal="center" vertical="center" wrapText="1"/>
    </xf>
    <xf numFmtId="173" fontId="1" fillId="29" borderId="62" xfId="0" applyNumberFormat="1" applyFont="1" applyFill="1" applyBorder="1" applyAlignment="1">
      <alignment horizontal="center" vertical="center"/>
    </xf>
    <xf numFmtId="3" fontId="1" fillId="0" borderId="62" xfId="0" applyNumberFormat="1" applyFont="1" applyBorder="1" applyAlignment="1">
      <alignment horizontal="center" vertical="center"/>
    </xf>
    <xf numFmtId="0" fontId="0" fillId="0" borderId="66" xfId="0" applyBorder="1" applyAlignment="1">
      <alignment horizontal="center" vertical="center"/>
    </xf>
    <xf numFmtId="0" fontId="0" fillId="0" borderId="66" xfId="0" applyBorder="1" applyAlignment="1">
      <alignment horizontal="left" vertical="center" wrapText="1" indent="1"/>
    </xf>
    <xf numFmtId="173" fontId="12" fillId="0" borderId="66" xfId="0" applyNumberFormat="1" applyFont="1" applyBorder="1" applyAlignment="1">
      <alignment horizontal="center" vertical="center"/>
    </xf>
    <xf numFmtId="38" fontId="1" fillId="0" borderId="66" xfId="0" applyNumberFormat="1" applyFont="1" applyBorder="1" applyAlignment="1">
      <alignment horizontal="center" vertical="center"/>
    </xf>
    <xf numFmtId="3" fontId="65" fillId="0" borderId="66" xfId="0" applyNumberFormat="1" applyFont="1" applyBorder="1" applyAlignment="1">
      <alignment horizontal="left" vertical="center" wrapText="1" indent="1"/>
    </xf>
    <xf numFmtId="8" fontId="1" fillId="25" borderId="66" xfId="0" applyNumberFormat="1" applyFont="1" applyFill="1" applyBorder="1" applyAlignment="1">
      <alignment horizontal="center" vertical="center"/>
    </xf>
    <xf numFmtId="1" fontId="19" fillId="0" borderId="66" xfId="0" applyNumberFormat="1" applyFont="1" applyBorder="1" applyAlignment="1">
      <alignment horizontal="center" vertical="center"/>
    </xf>
    <xf numFmtId="1" fontId="15" fillId="2" borderId="66" xfId="0" applyNumberFormat="1" applyFont="1" applyFill="1" applyBorder="1" applyAlignment="1">
      <alignment horizontal="center" vertical="center"/>
    </xf>
    <xf numFmtId="1" fontId="8" fillId="0" borderId="66" xfId="0" applyNumberFormat="1" applyFont="1" applyBorder="1" applyAlignment="1">
      <alignment horizontal="center" vertical="center"/>
    </xf>
    <xf numFmtId="1" fontId="4" fillId="0" borderId="66" xfId="0" applyNumberFormat="1" applyFont="1" applyBorder="1" applyAlignment="1">
      <alignment horizontal="center" vertical="center" wrapText="1"/>
    </xf>
    <xf numFmtId="173" fontId="1" fillId="29" borderId="66" xfId="0" applyNumberFormat="1" applyFont="1" applyFill="1" applyBorder="1" applyAlignment="1">
      <alignment horizontal="center" vertical="center"/>
    </xf>
    <xf numFmtId="3" fontId="1" fillId="0" borderId="66" xfId="0" applyNumberFormat="1" applyFont="1" applyBorder="1" applyAlignment="1">
      <alignment horizontal="center" vertical="center"/>
    </xf>
    <xf numFmtId="0" fontId="0" fillId="0" borderId="67" xfId="0" applyBorder="1" applyAlignment="1">
      <alignment horizontal="center" vertical="center"/>
    </xf>
    <xf numFmtId="0" fontId="0" fillId="0" borderId="67" xfId="0" applyBorder="1" applyAlignment="1">
      <alignment horizontal="left" vertical="center" wrapText="1" indent="1"/>
    </xf>
    <xf numFmtId="173" fontId="12" fillId="0" borderId="67" xfId="0" applyNumberFormat="1" applyFont="1" applyBorder="1" applyAlignment="1">
      <alignment horizontal="center" vertical="center"/>
    </xf>
    <xf numFmtId="38" fontId="1" fillId="0" borderId="67" xfId="0" applyNumberFormat="1" applyFont="1" applyBorder="1" applyAlignment="1">
      <alignment horizontal="center" vertical="center"/>
    </xf>
    <xf numFmtId="3" fontId="65" fillId="0" borderId="67" xfId="0" applyNumberFormat="1" applyFont="1" applyBorder="1" applyAlignment="1">
      <alignment horizontal="left" vertical="center" wrapText="1" indent="1"/>
    </xf>
    <xf numFmtId="8" fontId="1" fillId="25" borderId="67" xfId="0" applyNumberFormat="1" applyFont="1" applyFill="1" applyBorder="1" applyAlignment="1">
      <alignment horizontal="center" vertical="center"/>
    </xf>
    <xf numFmtId="1" fontId="19" fillId="0" borderId="67" xfId="0" applyNumberFormat="1" applyFont="1" applyBorder="1" applyAlignment="1">
      <alignment horizontal="center" vertical="center"/>
    </xf>
    <xf numFmtId="1" fontId="15" fillId="2" borderId="67" xfId="0" applyNumberFormat="1" applyFont="1" applyFill="1" applyBorder="1" applyAlignment="1">
      <alignment horizontal="center" vertical="center"/>
    </xf>
    <xf numFmtId="1" fontId="8" fillId="0" borderId="67" xfId="0" applyNumberFormat="1" applyFont="1" applyBorder="1" applyAlignment="1">
      <alignment horizontal="center" vertical="center"/>
    </xf>
    <xf numFmtId="1" fontId="4" fillId="0" borderId="67" xfId="0" applyNumberFormat="1" applyFont="1" applyBorder="1" applyAlignment="1">
      <alignment horizontal="center" vertical="center" wrapText="1"/>
    </xf>
    <xf numFmtId="173" fontId="1" fillId="29" borderId="67" xfId="0" applyNumberFormat="1" applyFont="1" applyFill="1" applyBorder="1" applyAlignment="1">
      <alignment horizontal="center" vertical="center"/>
    </xf>
    <xf numFmtId="3" fontId="1" fillId="0" borderId="67" xfId="0" applyNumberFormat="1" applyFont="1" applyBorder="1" applyAlignment="1">
      <alignment horizontal="center" vertical="center"/>
    </xf>
    <xf numFmtId="3" fontId="0" fillId="0" borderId="67" xfId="0" applyNumberFormat="1" applyBorder="1" applyAlignment="1">
      <alignment horizontal="left" vertical="center" indent="1"/>
    </xf>
    <xf numFmtId="0" fontId="5" fillId="0" borderId="0" xfId="0" applyFont="1" applyAlignment="1">
      <alignment horizontal="right" vertical="center"/>
    </xf>
    <xf numFmtId="0" fontId="0" fillId="0" borderId="0" xfId="0" applyAlignment="1">
      <alignment horizontal="right" vertical="center" wrapText="1"/>
    </xf>
    <xf numFmtId="0" fontId="11" fillId="0" borderId="0" xfId="0" applyFont="1" applyAlignment="1">
      <alignment horizontal="center" vertical="center"/>
    </xf>
    <xf numFmtId="0" fontId="0" fillId="4" borderId="31" xfId="0" applyFill="1" applyBorder="1"/>
    <xf numFmtId="0" fontId="0" fillId="4" borderId="33" xfId="0" applyFill="1" applyBorder="1"/>
    <xf numFmtId="0" fontId="0" fillId="12" borderId="31" xfId="0" applyFill="1" applyBorder="1" applyAlignment="1">
      <alignment horizontal="centerContinuous" vertical="center" wrapText="1"/>
    </xf>
    <xf numFmtId="0" fontId="0" fillId="12" borderId="32" xfId="0" applyFill="1" applyBorder="1" applyAlignment="1">
      <alignment horizontal="centerContinuous" vertical="center" wrapText="1"/>
    </xf>
    <xf numFmtId="0" fontId="0" fillId="12" borderId="32" xfId="0" applyFill="1" applyBorder="1"/>
    <xf numFmtId="0" fontId="0" fillId="12" borderId="26" xfId="0" applyFill="1" applyBorder="1"/>
    <xf numFmtId="0" fontId="0" fillId="12" borderId="0" xfId="0" applyFill="1" applyAlignment="1">
      <alignment horizontal="left" vertical="center"/>
    </xf>
    <xf numFmtId="0" fontId="0" fillId="12" borderId="0" xfId="0" applyFill="1"/>
    <xf numFmtId="0" fontId="71" fillId="0" borderId="0" xfId="0" applyFont="1" applyAlignment="1">
      <alignment horizontal="left" vertical="center"/>
    </xf>
    <xf numFmtId="0" fontId="72" fillId="0" borderId="40" xfId="0" applyFont="1" applyBorder="1" applyAlignment="1">
      <alignment horizontal="left" vertical="center" indent="1"/>
    </xf>
    <xf numFmtId="0" fontId="72" fillId="0" borderId="41" xfId="0" applyFont="1" applyBorder="1" applyAlignment="1">
      <alignment horizontal="left" vertical="center" indent="1"/>
    </xf>
    <xf numFmtId="0" fontId="72" fillId="0" borderId="42" xfId="0" applyFont="1" applyBorder="1" applyAlignment="1">
      <alignment horizontal="left" vertical="center" indent="1"/>
    </xf>
    <xf numFmtId="0" fontId="72" fillId="0" borderId="42" xfId="0" applyFont="1" applyBorder="1" applyAlignment="1">
      <alignment horizontal="left" vertical="center" wrapText="1" indent="1"/>
    </xf>
    <xf numFmtId="0" fontId="72" fillId="0" borderId="72" xfId="0" applyFont="1" applyBorder="1" applyAlignment="1">
      <alignment horizontal="left" vertical="center" wrapText="1" indent="1"/>
    </xf>
    <xf numFmtId="0" fontId="72" fillId="30" borderId="40" xfId="0" applyFont="1" applyFill="1" applyBorder="1" applyAlignment="1">
      <alignment horizontal="center" vertical="center" wrapText="1"/>
    </xf>
    <xf numFmtId="0" fontId="73" fillId="0" borderId="40" xfId="0" applyFont="1" applyBorder="1" applyAlignment="1">
      <alignment vertical="center" wrapText="1"/>
    </xf>
    <xf numFmtId="0" fontId="73" fillId="0" borderId="41" xfId="0" applyFont="1" applyBorder="1" applyAlignment="1">
      <alignment vertical="center" wrapText="1"/>
    </xf>
    <xf numFmtId="0" fontId="73" fillId="0" borderId="42" xfId="0" applyFont="1" applyBorder="1" applyAlignment="1">
      <alignment vertical="center" wrapText="1"/>
    </xf>
    <xf numFmtId="0" fontId="73" fillId="0" borderId="40" xfId="0" applyFont="1" applyBorder="1" applyAlignment="1">
      <alignment horizontal="center" vertical="center" wrapText="1"/>
    </xf>
    <xf numFmtId="0" fontId="73" fillId="0" borderId="41" xfId="0" applyFont="1" applyBorder="1" applyAlignment="1">
      <alignment horizontal="center" vertical="center" wrapText="1"/>
    </xf>
    <xf numFmtId="0" fontId="73" fillId="0" borderId="42" xfId="0" applyFont="1" applyBorder="1" applyAlignment="1">
      <alignment horizontal="center" vertical="center" wrapText="1"/>
    </xf>
    <xf numFmtId="0" fontId="73" fillId="0" borderId="72" xfId="0" applyFont="1" applyBorder="1" applyAlignment="1">
      <alignment vertical="center" wrapText="1"/>
    </xf>
    <xf numFmtId="0" fontId="72" fillId="30" borderId="40" xfId="0" applyFont="1" applyFill="1" applyBorder="1" applyAlignment="1">
      <alignment vertical="center" wrapText="1"/>
    </xf>
    <xf numFmtId="0" fontId="73" fillId="0" borderId="72" xfId="0" applyFont="1" applyBorder="1" applyAlignment="1">
      <alignment horizontal="center" vertical="center" wrapText="1"/>
    </xf>
    <xf numFmtId="0" fontId="80" fillId="31" borderId="40" xfId="0" applyFont="1" applyFill="1" applyBorder="1" applyAlignment="1">
      <alignment horizontal="centerContinuous" vertical="center" wrapText="1"/>
    </xf>
    <xf numFmtId="0" fontId="81" fillId="31" borderId="42" xfId="0" applyFont="1" applyFill="1" applyBorder="1" applyAlignment="1">
      <alignment horizontal="centerContinuous" vertical="center" wrapText="1"/>
    </xf>
    <xf numFmtId="0" fontId="81" fillId="31" borderId="48" xfId="0" applyFont="1" applyFill="1" applyBorder="1" applyAlignment="1">
      <alignment horizontal="left" vertical="center" wrapText="1" indent="1"/>
    </xf>
    <xf numFmtId="0" fontId="82" fillId="0" borderId="40" xfId="0" applyFont="1" applyBorder="1" applyAlignment="1">
      <alignment horizontal="center" vertical="center" wrapText="1"/>
    </xf>
    <xf numFmtId="0" fontId="82" fillId="0" borderId="42" xfId="0" applyFont="1" applyBorder="1" applyAlignment="1">
      <alignment horizontal="center" vertical="center" wrapText="1"/>
    </xf>
    <xf numFmtId="0" fontId="83" fillId="0" borderId="72" xfId="0" applyFont="1" applyBorder="1" applyAlignment="1">
      <alignment vertical="center" wrapText="1"/>
    </xf>
    <xf numFmtId="0" fontId="82" fillId="0" borderId="72" xfId="0" applyFont="1" applyBorder="1" applyAlignment="1">
      <alignment vertical="center" wrapText="1"/>
    </xf>
    <xf numFmtId="0" fontId="85" fillId="30" borderId="73" xfId="0" applyFont="1" applyFill="1" applyBorder="1" applyAlignment="1">
      <alignment vertical="center" wrapText="1"/>
    </xf>
    <xf numFmtId="0" fontId="87" fillId="0" borderId="40" xfId="0" applyFont="1" applyBorder="1" applyAlignment="1">
      <alignment vertical="center" wrapText="1"/>
    </xf>
    <xf numFmtId="0" fontId="1" fillId="12" borderId="23" xfId="0" applyFont="1" applyFill="1" applyBorder="1" applyAlignment="1">
      <alignment horizontal="left" vertical="center" indent="1"/>
    </xf>
    <xf numFmtId="0" fontId="0" fillId="12" borderId="24" xfId="0" applyFill="1" applyBorder="1"/>
    <xf numFmtId="0" fontId="0" fillId="12" borderId="25" xfId="0" applyFill="1" applyBorder="1"/>
    <xf numFmtId="0" fontId="20" fillId="0" borderId="0" xfId="0" applyFont="1" applyAlignment="1">
      <alignment horizontal="left" vertical="center" indent="1"/>
    </xf>
    <xf numFmtId="0" fontId="0" fillId="12" borderId="0" xfId="0" applyFill="1" applyAlignment="1">
      <alignment horizontal="left" vertical="center" indent="1"/>
    </xf>
    <xf numFmtId="0" fontId="0" fillId="12" borderId="27" xfId="0" applyFill="1" applyBorder="1" applyAlignment="1">
      <alignment horizontal="left" vertical="center" indent="1"/>
    </xf>
    <xf numFmtId="0" fontId="0" fillId="12" borderId="0" xfId="0" applyFill="1" applyAlignment="1">
      <alignment horizontal="centerContinuous" vertical="center" wrapText="1"/>
    </xf>
    <xf numFmtId="0" fontId="0" fillId="12" borderId="28" xfId="0" applyFill="1" applyBorder="1"/>
    <xf numFmtId="0" fontId="89" fillId="0" borderId="0" xfId="0" applyFont="1" applyAlignment="1">
      <alignment vertical="center"/>
    </xf>
    <xf numFmtId="0" fontId="58" fillId="0" borderId="0" xfId="0" applyFont="1" applyAlignment="1">
      <alignment vertical="center"/>
    </xf>
    <xf numFmtId="0" fontId="7" fillId="0" borderId="0" xfId="0" applyFont="1" applyAlignment="1">
      <alignment horizontal="center" vertical="center"/>
    </xf>
    <xf numFmtId="0" fontId="43" fillId="4" borderId="40" xfId="0" applyFont="1" applyFill="1" applyBorder="1" applyAlignment="1">
      <alignment horizontal="centerContinuous" vertical="center"/>
    </xf>
    <xf numFmtId="0" fontId="43" fillId="4" borderId="41" xfId="0" applyFont="1" applyFill="1" applyBorder="1" applyAlignment="1">
      <alignment horizontal="centerContinuous" vertical="center"/>
    </xf>
    <xf numFmtId="0" fontId="43" fillId="4" borderId="42" xfId="0" applyFont="1" applyFill="1" applyBorder="1" applyAlignment="1">
      <alignment horizontal="centerContinuous" vertical="center"/>
    </xf>
    <xf numFmtId="0" fontId="4" fillId="0" borderId="48" xfId="0" applyFont="1" applyBorder="1" applyAlignment="1">
      <alignment horizontal="center" vertical="center"/>
    </xf>
    <xf numFmtId="0" fontId="90" fillId="4" borderId="74" xfId="0" applyFont="1" applyFill="1" applyBorder="1" applyAlignment="1">
      <alignment horizontal="centerContinuous" vertical="center"/>
    </xf>
    <xf numFmtId="0" fontId="91" fillId="4" borderId="41" xfId="0" applyFont="1" applyFill="1" applyBorder="1" applyAlignment="1">
      <alignment horizontal="centerContinuous" vertical="center"/>
    </xf>
    <xf numFmtId="0" fontId="91" fillId="4" borderId="42" xfId="0" applyFont="1" applyFill="1" applyBorder="1" applyAlignment="1">
      <alignment horizontal="centerContinuous" vertical="center"/>
    </xf>
    <xf numFmtId="0" fontId="90" fillId="4" borderId="44" xfId="0" applyFont="1" applyFill="1" applyBorder="1" applyAlignment="1">
      <alignment horizontal="center" vertical="center"/>
    </xf>
    <xf numFmtId="0" fontId="4" fillId="0" borderId="46" xfId="0" applyFont="1" applyBorder="1" applyAlignment="1">
      <alignment horizontal="centerContinuous" vertical="center"/>
    </xf>
    <xf numFmtId="0" fontId="0" fillId="0" borderId="46" xfId="0" applyBorder="1" applyAlignment="1">
      <alignment horizontal="centerContinuous" vertical="center"/>
    </xf>
    <xf numFmtId="0" fontId="1" fillId="9" borderId="40" xfId="0" applyFont="1" applyFill="1" applyBorder="1" applyAlignment="1">
      <alignment horizontal="centerContinuous" vertical="center"/>
    </xf>
    <xf numFmtId="0" fontId="0" fillId="9" borderId="41" xfId="0" applyFill="1" applyBorder="1" applyAlignment="1">
      <alignment horizontal="centerContinuous" vertical="center"/>
    </xf>
    <xf numFmtId="0" fontId="1" fillId="33" borderId="40" xfId="0" applyFont="1" applyFill="1" applyBorder="1" applyAlignment="1">
      <alignment horizontal="centerContinuous" vertical="center"/>
    </xf>
    <xf numFmtId="0" fontId="0" fillId="33" borderId="41" xfId="0" applyFill="1" applyBorder="1" applyAlignment="1">
      <alignment horizontal="centerContinuous" vertical="center"/>
    </xf>
    <xf numFmtId="0" fontId="0" fillId="33" borderId="42" xfId="0" applyFill="1" applyBorder="1" applyAlignment="1">
      <alignment horizontal="centerContinuous" vertical="center"/>
    </xf>
    <xf numFmtId="0" fontId="1" fillId="34" borderId="45" xfId="0" applyFont="1" applyFill="1" applyBorder="1" applyAlignment="1">
      <alignment horizontal="centerContinuous" vertical="center"/>
    </xf>
    <xf numFmtId="0" fontId="1" fillId="34" borderId="46" xfId="0" applyFont="1" applyFill="1" applyBorder="1" applyAlignment="1">
      <alignment horizontal="centerContinuous" vertical="center"/>
    </xf>
    <xf numFmtId="0" fontId="1" fillId="34" borderId="47" xfId="0" applyFont="1" applyFill="1" applyBorder="1" applyAlignment="1">
      <alignment horizontal="centerContinuous" vertical="center"/>
    </xf>
    <xf numFmtId="0" fontId="1" fillId="35" borderId="45" xfId="0" applyFont="1" applyFill="1" applyBorder="1" applyAlignment="1">
      <alignment horizontal="centerContinuous" vertical="center"/>
    </xf>
    <xf numFmtId="0" fontId="1" fillId="35" borderId="46" xfId="0" applyFont="1" applyFill="1" applyBorder="1" applyAlignment="1">
      <alignment horizontal="centerContinuous" vertical="center"/>
    </xf>
    <xf numFmtId="0" fontId="1" fillId="35" borderId="47" xfId="0" applyFont="1" applyFill="1" applyBorder="1" applyAlignment="1">
      <alignment horizontal="centerContinuous" vertical="center"/>
    </xf>
    <xf numFmtId="0" fontId="1" fillId="5" borderId="45" xfId="0" applyFont="1" applyFill="1" applyBorder="1" applyAlignment="1">
      <alignment horizontal="centerContinuous" vertical="center"/>
    </xf>
    <xf numFmtId="0" fontId="1" fillId="5" borderId="46" xfId="0" applyFont="1" applyFill="1" applyBorder="1" applyAlignment="1">
      <alignment horizontal="centerContinuous" vertical="center"/>
    </xf>
    <xf numFmtId="0" fontId="1" fillId="5" borderId="47" xfId="0" applyFont="1" applyFill="1" applyBorder="1" applyAlignment="1">
      <alignment horizontal="centerContinuous" vertical="center"/>
    </xf>
    <xf numFmtId="0" fontId="1" fillId="36" borderId="45" xfId="0" applyFont="1" applyFill="1" applyBorder="1" applyAlignment="1">
      <alignment horizontal="centerContinuous" vertical="center"/>
    </xf>
    <xf numFmtId="0" fontId="1" fillId="36" borderId="46" xfId="0" applyFont="1" applyFill="1" applyBorder="1" applyAlignment="1">
      <alignment horizontal="centerContinuous" vertical="center"/>
    </xf>
    <xf numFmtId="0" fontId="1" fillId="36" borderId="47" xfId="0" applyFont="1" applyFill="1" applyBorder="1" applyAlignment="1">
      <alignment horizontal="centerContinuous" vertical="center"/>
    </xf>
    <xf numFmtId="0" fontId="0" fillId="0" borderId="68" xfId="0" applyBorder="1" applyAlignment="1">
      <alignment vertical="center"/>
    </xf>
    <xf numFmtId="0" fontId="1" fillId="0" borderId="48" xfId="0" applyFont="1" applyBorder="1" applyAlignment="1">
      <alignment horizontal="center" vertical="center"/>
    </xf>
    <xf numFmtId="0" fontId="1" fillId="0" borderId="40"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0" xfId="0" applyFont="1" applyBorder="1" applyAlignment="1">
      <alignment horizontal="centerContinuous" vertical="center"/>
    </xf>
    <xf numFmtId="0" fontId="5" fillId="0" borderId="41" xfId="0" applyFont="1" applyBorder="1" applyAlignment="1">
      <alignment horizontal="centerContinuous" vertical="center"/>
    </xf>
    <xf numFmtId="0" fontId="5" fillId="0" borderId="42" xfId="0" applyFont="1" applyBorder="1" applyAlignment="1">
      <alignment horizontal="centerContinuous"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0" fillId="0" borderId="75" xfId="0" applyBorder="1" applyAlignment="1">
      <alignment horizontal="left" vertical="center" indent="1"/>
    </xf>
    <xf numFmtId="0" fontId="0" fillId="0" borderId="68" xfId="0" applyBorder="1" applyAlignment="1">
      <alignment horizontal="left" vertical="center" indent="1"/>
    </xf>
    <xf numFmtId="0" fontId="91" fillId="0" borderId="45" xfId="0" applyFont="1" applyBorder="1" applyAlignment="1">
      <alignment horizontal="left" vertical="center" indent="1"/>
    </xf>
    <xf numFmtId="0" fontId="0" fillId="0" borderId="46" xfId="0" applyBorder="1" applyAlignment="1">
      <alignment vertical="center"/>
    </xf>
    <xf numFmtId="0" fontId="0" fillId="0" borderId="47" xfId="0" applyBorder="1" applyAlignment="1">
      <alignment vertical="center"/>
    </xf>
    <xf numFmtId="0" fontId="93" fillId="0" borderId="0" xfId="0" applyFont="1" applyAlignment="1">
      <alignment horizontal="center" vertical="center"/>
    </xf>
    <xf numFmtId="0" fontId="0" fillId="0" borderId="46" xfId="0" applyBorder="1" applyAlignment="1">
      <alignment horizontal="left" vertical="center" wrapText="1" indent="1"/>
    </xf>
    <xf numFmtId="0" fontId="0" fillId="0" borderId="45" xfId="0" applyBorder="1" applyAlignment="1">
      <alignment vertical="center"/>
    </xf>
    <xf numFmtId="0" fontId="0" fillId="0" borderId="45" xfId="0" applyBorder="1" applyAlignment="1">
      <alignment horizontal="left" vertical="center" indent="1"/>
    </xf>
    <xf numFmtId="0" fontId="0" fillId="0" borderId="46" xfId="0" applyBorder="1" applyAlignment="1">
      <alignment horizontal="right" vertical="center" indent="1"/>
    </xf>
    <xf numFmtId="0" fontId="0" fillId="0" borderId="46" xfId="0" applyBorder="1" applyAlignment="1">
      <alignment horizontal="left" vertical="top" indent="1"/>
    </xf>
    <xf numFmtId="0" fontId="0" fillId="0" borderId="46" xfId="0" applyBorder="1" applyAlignment="1">
      <alignment horizontal="left" vertical="center" indent="1"/>
    </xf>
    <xf numFmtId="0" fontId="5" fillId="31" borderId="20" xfId="0" applyFont="1" applyFill="1" applyBorder="1" applyAlignment="1">
      <alignment horizontal="center" vertical="center"/>
    </xf>
    <xf numFmtId="0" fontId="0" fillId="0" borderId="47" xfId="0" applyBorder="1" applyAlignment="1">
      <alignment horizontal="left" vertical="top" indent="1"/>
    </xf>
    <xf numFmtId="0" fontId="94" fillId="0" borderId="0" xfId="0" applyFont="1" applyAlignment="1">
      <alignment horizontal="left" vertical="center" indent="1"/>
    </xf>
    <xf numFmtId="0" fontId="0" fillId="0" borderId="68" xfId="0" applyBorder="1" applyAlignment="1">
      <alignment horizontal="left" vertical="center" indent="2"/>
    </xf>
    <xf numFmtId="0" fontId="0" fillId="0" borderId="0" xfId="0" applyAlignment="1">
      <alignment horizontal="left" vertical="center" indent="2"/>
    </xf>
    <xf numFmtId="0" fontId="0" fillId="0" borderId="69" xfId="0" applyBorder="1" applyAlignment="1">
      <alignment vertical="center"/>
    </xf>
    <xf numFmtId="0" fontId="0" fillId="0" borderId="0" xfId="0" applyAlignment="1">
      <alignment horizontal="right" vertical="center" indent="1"/>
    </xf>
    <xf numFmtId="0" fontId="0" fillId="0" borderId="0" xfId="0" applyAlignment="1">
      <alignment horizontal="left" vertical="top" indent="1"/>
    </xf>
    <xf numFmtId="0" fontId="0" fillId="0" borderId="69" xfId="0" applyBorder="1" applyAlignment="1">
      <alignment horizontal="left" vertical="top" indent="1"/>
    </xf>
    <xf numFmtId="0" fontId="75" fillId="0" borderId="0" xfId="0" applyFont="1" applyAlignment="1">
      <alignment horizontal="left" vertical="center" indent="1"/>
    </xf>
    <xf numFmtId="0" fontId="0" fillId="0" borderId="75" xfId="0" applyBorder="1" applyAlignment="1">
      <alignment horizontal="left" vertical="center" indent="2"/>
    </xf>
    <xf numFmtId="0" fontId="0" fillId="0" borderId="68" xfId="0" applyBorder="1" applyAlignment="1">
      <alignment horizontal="left" vertical="center"/>
    </xf>
    <xf numFmtId="0" fontId="0" fillId="0" borderId="75" xfId="0" applyBorder="1" applyAlignment="1">
      <alignment vertical="center"/>
    </xf>
    <xf numFmtId="0" fontId="7" fillId="0" borderId="0" xfId="0" applyFont="1" applyAlignment="1">
      <alignment horizontal="left" vertical="center" indent="1"/>
    </xf>
    <xf numFmtId="0" fontId="91" fillId="0" borderId="68" xfId="0" applyFont="1" applyBorder="1" applyAlignment="1">
      <alignment horizontal="left" vertical="center" indent="1"/>
    </xf>
    <xf numFmtId="0" fontId="0" fillId="37" borderId="68" xfId="0" applyFill="1" applyBorder="1" applyAlignment="1">
      <alignment horizontal="left" vertical="center" indent="2"/>
    </xf>
    <xf numFmtId="0" fontId="0" fillId="37" borderId="0" xfId="0" applyFill="1" applyAlignment="1">
      <alignment vertical="center"/>
    </xf>
    <xf numFmtId="0" fontId="0" fillId="0" borderId="70" xfId="0" applyBorder="1" applyAlignment="1">
      <alignment horizontal="left" vertical="center" indent="2"/>
    </xf>
    <xf numFmtId="0" fontId="0" fillId="0" borderId="71" xfId="0" applyBorder="1" applyAlignment="1">
      <alignment vertical="center"/>
    </xf>
    <xf numFmtId="0" fontId="0" fillId="0" borderId="71" xfId="0" applyBorder="1" applyAlignment="1">
      <alignment horizontal="left" vertical="center" indent="2"/>
    </xf>
    <xf numFmtId="0" fontId="0" fillId="0" borderId="72" xfId="0" applyBorder="1" applyAlignment="1">
      <alignment vertical="center"/>
    </xf>
    <xf numFmtId="0" fontId="0" fillId="0" borderId="70" xfId="0" applyBorder="1" applyAlignment="1">
      <alignment vertical="center"/>
    </xf>
    <xf numFmtId="0" fontId="0" fillId="0" borderId="70" xfId="0" applyBorder="1" applyAlignment="1">
      <alignment horizontal="left" vertical="center" indent="1"/>
    </xf>
    <xf numFmtId="0" fontId="0" fillId="0" borderId="71" xfId="0" applyBorder="1" applyAlignment="1">
      <alignment horizontal="right" vertical="center"/>
    </xf>
    <xf numFmtId="0" fontId="0" fillId="0" borderId="71" xfId="0" applyBorder="1" applyAlignment="1">
      <alignment horizontal="left" vertical="center" indent="1"/>
    </xf>
    <xf numFmtId="0" fontId="90" fillId="4" borderId="48" xfId="0" applyFont="1" applyFill="1" applyBorder="1" applyAlignment="1">
      <alignment horizontal="centerContinuous" vertical="center"/>
    </xf>
    <xf numFmtId="0" fontId="91" fillId="4" borderId="48" xfId="0" applyFont="1" applyFill="1" applyBorder="1" applyAlignment="1">
      <alignment horizontal="centerContinuous" vertical="center"/>
    </xf>
    <xf numFmtId="0" fontId="90" fillId="4" borderId="48" xfId="0" applyFont="1" applyFill="1" applyBorder="1" applyAlignment="1">
      <alignment horizontal="center" vertical="center"/>
    </xf>
    <xf numFmtId="0" fontId="4" fillId="0" borderId="48" xfId="0" applyFont="1" applyBorder="1" applyAlignment="1">
      <alignment horizontal="centerContinuous" vertical="center"/>
    </xf>
    <xf numFmtId="0" fontId="1" fillId="0" borderId="48" xfId="0" applyFont="1" applyBorder="1" applyAlignment="1">
      <alignment horizontal="centerContinuous" vertical="center"/>
    </xf>
    <xf numFmtId="0" fontId="0" fillId="9" borderId="42" xfId="0" applyFill="1" applyBorder="1" applyAlignment="1">
      <alignment horizontal="centerContinuous" vertical="center"/>
    </xf>
    <xf numFmtId="0" fontId="0" fillId="0" borderId="44" xfId="0" applyBorder="1" applyAlignment="1">
      <alignment horizontal="left" vertical="center" indent="1"/>
    </xf>
    <xf numFmtId="0" fontId="46" fillId="0" borderId="0" xfId="0" applyFont="1" applyAlignment="1">
      <alignment horizontal="center" vertical="center"/>
    </xf>
    <xf numFmtId="0" fontId="0" fillId="0" borderId="75" xfId="0" applyBorder="1" applyAlignment="1">
      <alignment horizontal="center" vertical="center"/>
    </xf>
    <xf numFmtId="0" fontId="91" fillId="0" borderId="0" xfId="0" applyFont="1" applyAlignment="1">
      <alignment horizontal="left" vertical="center" indent="1"/>
    </xf>
    <xf numFmtId="0" fontId="0" fillId="0" borderId="71" xfId="0" applyBorder="1" applyAlignment="1">
      <alignment horizontal="center" vertical="center"/>
    </xf>
    <xf numFmtId="0" fontId="0" fillId="0" borderId="73" xfId="0" applyBorder="1" applyAlignment="1">
      <alignment vertical="center"/>
    </xf>
    <xf numFmtId="0" fontId="0" fillId="0" borderId="73" xfId="0" applyBorder="1" applyAlignment="1">
      <alignment horizontal="center" vertical="center"/>
    </xf>
    <xf numFmtId="0" fontId="6" fillId="0" borderId="0" xfId="0" applyFont="1"/>
    <xf numFmtId="0" fontId="4" fillId="14" borderId="40" xfId="0" applyFont="1" applyFill="1" applyBorder="1" applyAlignment="1">
      <alignment horizontal="centerContinuous" vertical="center"/>
    </xf>
    <xf numFmtId="0" fontId="4" fillId="14" borderId="41" xfId="0" applyFont="1" applyFill="1" applyBorder="1" applyAlignment="1">
      <alignment horizontal="centerContinuous" vertical="center"/>
    </xf>
    <xf numFmtId="0" fontId="4" fillId="14" borderId="42" xfId="0" applyFont="1" applyFill="1" applyBorder="1" applyAlignment="1">
      <alignment horizontal="centerContinuous" vertical="center"/>
    </xf>
    <xf numFmtId="0" fontId="4" fillId="38" borderId="40" xfId="0" applyFont="1" applyFill="1" applyBorder="1" applyAlignment="1">
      <alignment horizontal="centerContinuous" vertical="center"/>
    </xf>
    <xf numFmtId="0" fontId="4" fillId="38" borderId="41" xfId="0" applyFont="1" applyFill="1" applyBorder="1" applyAlignment="1">
      <alignment horizontal="centerContinuous" vertical="center"/>
    </xf>
    <xf numFmtId="0" fontId="4" fillId="38" borderId="42" xfId="0" applyFont="1" applyFill="1" applyBorder="1" applyAlignment="1">
      <alignment horizontal="centerContinuous" vertical="center"/>
    </xf>
    <xf numFmtId="0" fontId="4" fillId="39" borderId="40" xfId="0" applyFont="1" applyFill="1" applyBorder="1" applyAlignment="1">
      <alignment horizontal="centerContinuous" vertical="center"/>
    </xf>
    <xf numFmtId="0" fontId="4" fillId="39" borderId="41" xfId="0" applyFont="1" applyFill="1" applyBorder="1" applyAlignment="1">
      <alignment horizontal="centerContinuous" vertical="center"/>
    </xf>
    <xf numFmtId="0" fontId="4" fillId="39" borderId="42" xfId="0" applyFont="1" applyFill="1" applyBorder="1" applyAlignment="1">
      <alignment horizontal="centerContinuous" vertical="center"/>
    </xf>
    <xf numFmtId="174" fontId="0" fillId="0" borderId="0" xfId="0" applyNumberFormat="1" applyAlignment="1">
      <alignment horizontal="center" vertical="center"/>
    </xf>
    <xf numFmtId="0" fontId="8" fillId="0" borderId="0" xfId="0" applyFont="1" applyAlignment="1">
      <alignment horizontal="centerContinuous" vertical="center"/>
    </xf>
    <xf numFmtId="0" fontId="0" fillId="3" borderId="44" xfId="0" applyFill="1" applyBorder="1"/>
    <xf numFmtId="0" fontId="0" fillId="14" borderId="44" xfId="0" applyFill="1" applyBorder="1"/>
    <xf numFmtId="0" fontId="0" fillId="40" borderId="44" xfId="0" applyFill="1" applyBorder="1"/>
    <xf numFmtId="0" fontId="4" fillId="0" borderId="0" xfId="0" applyFont="1" applyAlignment="1">
      <alignment horizontal="left" vertical="center" indent="1"/>
    </xf>
    <xf numFmtId="0" fontId="0" fillId="3" borderId="75" xfId="0" applyFill="1" applyBorder="1"/>
    <xf numFmtId="0" fontId="0" fillId="14" borderId="75" xfId="0" applyFill="1" applyBorder="1"/>
    <xf numFmtId="0" fontId="0" fillId="40" borderId="75" xfId="0" applyFill="1" applyBorder="1"/>
    <xf numFmtId="0" fontId="4" fillId="0" borderId="0" xfId="0" applyFont="1" applyAlignment="1">
      <alignment horizontal="right" vertical="center" indent="1"/>
    </xf>
    <xf numFmtId="0" fontId="0" fillId="14" borderId="73" xfId="0" applyFill="1" applyBorder="1"/>
    <xf numFmtId="0" fontId="0" fillId="40" borderId="73" xfId="0" applyFill="1" applyBorder="1"/>
    <xf numFmtId="0" fontId="0" fillId="4" borderId="44" xfId="0" applyFill="1" applyBorder="1"/>
    <xf numFmtId="0" fontId="97" fillId="0" borderId="0" xfId="0" applyFont="1" applyAlignment="1">
      <alignment horizontal="center" vertical="center"/>
    </xf>
    <xf numFmtId="0" fontId="0" fillId="20" borderId="48" xfId="0" applyFill="1" applyBorder="1"/>
    <xf numFmtId="0" fontId="0" fillId="4" borderId="75" xfId="0" applyFill="1" applyBorder="1"/>
    <xf numFmtId="0" fontId="0" fillId="7" borderId="44" xfId="0" applyFill="1" applyBorder="1"/>
    <xf numFmtId="0" fontId="0" fillId="7" borderId="75" xfId="0" applyFill="1" applyBorder="1"/>
    <xf numFmtId="0" fontId="0" fillId="7" borderId="73" xfId="0" applyFill="1" applyBorder="1"/>
    <xf numFmtId="0" fontId="0" fillId="6" borderId="44" xfId="0" applyFill="1" applyBorder="1"/>
    <xf numFmtId="0" fontId="0" fillId="6" borderId="75" xfId="0" applyFill="1" applyBorder="1"/>
    <xf numFmtId="0" fontId="0" fillId="6" borderId="73" xfId="0" applyFill="1" applyBorder="1"/>
    <xf numFmtId="0" fontId="0" fillId="41" borderId="44" xfId="0" applyFill="1" applyBorder="1"/>
    <xf numFmtId="0" fontId="0" fillId="41" borderId="73" xfId="0" applyFill="1" applyBorder="1"/>
    <xf numFmtId="0" fontId="0" fillId="5" borderId="44" xfId="0" applyFill="1" applyBorder="1"/>
    <xf numFmtId="0" fontId="0" fillId="5" borderId="75" xfId="0" applyFill="1" applyBorder="1"/>
    <xf numFmtId="0" fontId="0" fillId="3" borderId="73" xfId="0" applyFill="1" applyBorder="1"/>
    <xf numFmtId="0" fontId="0" fillId="4" borderId="73" xfId="0" applyFill="1" applyBorder="1"/>
    <xf numFmtId="0" fontId="0" fillId="5" borderId="73" xfId="0" applyFill="1" applyBorder="1"/>
    <xf numFmtId="0" fontId="17" fillId="4" borderId="23"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0" xfId="0" applyFont="1" applyFill="1" applyAlignment="1">
      <alignment horizontal="center" vertical="center"/>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30" xfId="0" applyFont="1" applyFill="1" applyBorder="1" applyAlignment="1">
      <alignment horizontal="center" vertical="center"/>
    </xf>
    <xf numFmtId="0" fontId="18" fillId="0" borderId="40" xfId="0" applyFont="1" applyBorder="1" applyAlignment="1">
      <alignment horizontal="center"/>
    </xf>
    <xf numFmtId="0" fontId="18" fillId="0" borderId="41" xfId="0" applyFont="1" applyBorder="1" applyAlignment="1">
      <alignment horizontal="center"/>
    </xf>
    <xf numFmtId="0" fontId="18" fillId="0" borderId="42" xfId="0"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0" xfId="0" applyFill="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52" fillId="4" borderId="23" xfId="0" applyFont="1" applyFill="1" applyBorder="1" applyAlignment="1">
      <alignment horizontal="center" vertical="center"/>
    </xf>
    <xf numFmtId="0" fontId="52" fillId="4" borderId="24" xfId="0" applyFont="1" applyFill="1" applyBorder="1" applyAlignment="1">
      <alignment horizontal="center" vertical="center"/>
    </xf>
    <xf numFmtId="0" fontId="52" fillId="4" borderId="25" xfId="0" applyFont="1" applyFill="1" applyBorder="1" applyAlignment="1">
      <alignment horizontal="center" vertical="center"/>
    </xf>
    <xf numFmtId="0" fontId="52" fillId="4" borderId="26" xfId="0" applyFont="1" applyFill="1" applyBorder="1" applyAlignment="1">
      <alignment horizontal="center" vertical="center"/>
    </xf>
    <xf numFmtId="0" fontId="52" fillId="4" borderId="0" xfId="0" applyFont="1" applyFill="1" applyAlignment="1">
      <alignment horizontal="center" vertical="center"/>
    </xf>
    <xf numFmtId="0" fontId="52" fillId="4" borderId="27" xfId="0" applyFont="1" applyFill="1" applyBorder="1" applyAlignment="1">
      <alignment horizontal="center" vertical="center"/>
    </xf>
    <xf numFmtId="0" fontId="52" fillId="4" borderId="28" xfId="0" applyFont="1" applyFill="1" applyBorder="1" applyAlignment="1">
      <alignment horizontal="center" vertical="center"/>
    </xf>
    <xf numFmtId="0" fontId="52" fillId="4" borderId="29" xfId="0" applyFont="1" applyFill="1" applyBorder="1" applyAlignment="1">
      <alignment horizontal="center" vertical="center"/>
    </xf>
    <xf numFmtId="0" fontId="52" fillId="4" borderId="30" xfId="0" applyFont="1" applyFill="1" applyBorder="1" applyAlignment="1">
      <alignment horizontal="center" vertical="center"/>
    </xf>
    <xf numFmtId="0" fontId="56" fillId="0" borderId="23" xfId="0" applyFont="1" applyBorder="1" applyAlignment="1">
      <alignment horizontal="center" vertical="center" wrapText="1"/>
    </xf>
    <xf numFmtId="0" fontId="56" fillId="0" borderId="24"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0" xfId="0" applyFont="1" applyAlignment="1">
      <alignment horizontal="center" vertical="center" wrapText="1"/>
    </xf>
    <xf numFmtId="0" fontId="56" fillId="0" borderId="27" xfId="0" applyFont="1" applyBorder="1" applyAlignment="1">
      <alignment horizontal="center" vertical="center" wrapText="1"/>
    </xf>
    <xf numFmtId="0" fontId="56" fillId="0" borderId="28"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30"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5" fillId="4" borderId="5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1" xfId="0" applyFont="1" applyFill="1" applyBorder="1" applyAlignment="1">
      <alignment horizontal="center" vertical="center"/>
    </xf>
    <xf numFmtId="0" fontId="67" fillId="0" borderId="35" xfId="0" applyFont="1" applyBorder="1" applyAlignment="1">
      <alignment horizontal="center" vertical="center" wrapText="1"/>
    </xf>
    <xf numFmtId="3" fontId="5" fillId="0" borderId="63" xfId="0" applyNumberFormat="1" applyFont="1" applyBorder="1" applyAlignment="1">
      <alignment horizontal="center" wrapText="1"/>
    </xf>
    <xf numFmtId="3" fontId="5" fillId="0" borderId="65" xfId="0" applyNumberFormat="1" applyFont="1" applyBorder="1" applyAlignment="1">
      <alignment horizontal="center" wrapText="1"/>
    </xf>
    <xf numFmtId="3" fontId="8" fillId="0" borderId="63" xfId="0" applyNumberFormat="1" applyFont="1" applyBorder="1" applyAlignment="1">
      <alignment horizontal="center" vertical="center" wrapText="1"/>
    </xf>
    <xf numFmtId="3" fontId="8" fillId="0" borderId="65" xfId="0" applyNumberFormat="1" applyFont="1" applyBorder="1" applyAlignment="1">
      <alignment horizontal="center" vertical="center" wrapText="1"/>
    </xf>
    <xf numFmtId="1" fontId="5" fillId="18" borderId="63" xfId="0" applyNumberFormat="1" applyFont="1" applyFill="1" applyBorder="1" applyAlignment="1">
      <alignment horizontal="center" vertical="center" wrapText="1"/>
    </xf>
    <xf numFmtId="1" fontId="5" fillId="18" borderId="64" xfId="0" applyNumberFormat="1" applyFont="1" applyFill="1" applyBorder="1" applyAlignment="1">
      <alignment horizontal="center" vertical="center" wrapText="1"/>
    </xf>
    <xf numFmtId="1" fontId="5" fillId="18" borderId="65" xfId="0" applyNumberFormat="1" applyFont="1" applyFill="1" applyBorder="1" applyAlignment="1">
      <alignment horizontal="center" vertical="center" wrapText="1"/>
    </xf>
    <xf numFmtId="14" fontId="5" fillId="29" borderId="62" xfId="0" applyNumberFormat="1" applyFont="1" applyFill="1" applyBorder="1" applyAlignment="1">
      <alignment horizontal="center" vertical="center" wrapText="1"/>
    </xf>
    <xf numFmtId="3" fontId="8" fillId="0" borderId="62" xfId="0" applyNumberFormat="1" applyFont="1" applyBorder="1" applyAlignment="1">
      <alignment horizontal="center" wrapText="1"/>
    </xf>
    <xf numFmtId="1" fontId="5" fillId="2" borderId="63" xfId="0" applyNumberFormat="1" applyFont="1" applyFill="1" applyBorder="1" applyAlignment="1">
      <alignment horizontal="center" vertical="center" wrapText="1"/>
    </xf>
    <xf numFmtId="0" fontId="0" fillId="2" borderId="65" xfId="0" applyFill="1" applyBorder="1" applyAlignment="1">
      <alignment horizontal="center" vertical="center" wrapText="1"/>
    </xf>
    <xf numFmtId="1" fontId="5" fillId="2" borderId="64" xfId="0" applyNumberFormat="1" applyFont="1" applyFill="1" applyBorder="1" applyAlignment="1">
      <alignment horizontal="center" vertical="center" wrapText="1"/>
    </xf>
    <xf numFmtId="1" fontId="5" fillId="2" borderId="65" xfId="0" applyNumberFormat="1" applyFont="1" applyFill="1" applyBorder="1" applyAlignment="1">
      <alignment horizontal="center" vertical="center" wrapText="1"/>
    </xf>
    <xf numFmtId="1" fontId="1" fillId="25" borderId="63" xfId="0" applyNumberFormat="1" applyFont="1" applyFill="1" applyBorder="1" applyAlignment="1">
      <alignment horizontal="center" wrapText="1"/>
    </xf>
    <xf numFmtId="1" fontId="1" fillId="25" borderId="64" xfId="0" applyNumberFormat="1" applyFont="1" applyFill="1" applyBorder="1" applyAlignment="1">
      <alignment horizontal="center" wrapText="1"/>
    </xf>
    <xf numFmtId="1" fontId="1" fillId="25" borderId="65" xfId="0" applyNumberFormat="1" applyFont="1" applyFill="1" applyBorder="1" applyAlignment="1">
      <alignment horizontal="center" wrapText="1"/>
    </xf>
    <xf numFmtId="0" fontId="1" fillId="0" borderId="63" xfId="0" applyFont="1" applyBorder="1" applyAlignment="1">
      <alignment horizontal="center" wrapText="1"/>
    </xf>
    <xf numFmtId="0" fontId="1" fillId="0" borderId="64" xfId="0" applyFont="1" applyBorder="1" applyAlignment="1">
      <alignment horizontal="center" wrapText="1"/>
    </xf>
    <xf numFmtId="0" fontId="1" fillId="0" borderId="65" xfId="0" applyFont="1" applyBorder="1" applyAlignment="1">
      <alignment horizontal="center" wrapText="1"/>
    </xf>
    <xf numFmtId="14" fontId="1" fillId="0" borderId="62" xfId="0" applyNumberFormat="1" applyFont="1" applyBorder="1" applyAlignment="1">
      <alignment horizontal="center" wrapText="1"/>
    </xf>
    <xf numFmtId="3" fontId="8" fillId="0" borderId="62" xfId="0" applyNumberFormat="1" applyFont="1" applyBorder="1" applyAlignment="1">
      <alignment horizontal="center"/>
    </xf>
    <xf numFmtId="3" fontId="8" fillId="0" borderId="59" xfId="0" applyNumberFormat="1" applyFont="1" applyBorder="1" applyAlignment="1">
      <alignment horizontal="center" vertical="center" wrapText="1"/>
    </xf>
    <xf numFmtId="3" fontId="8" fillId="0" borderId="60" xfId="0" applyNumberFormat="1" applyFont="1" applyBorder="1" applyAlignment="1">
      <alignment horizontal="center" vertical="center" wrapText="1"/>
    </xf>
    <xf numFmtId="3" fontId="8" fillId="0" borderId="61" xfId="0" applyNumberFormat="1" applyFont="1" applyBorder="1" applyAlignment="1">
      <alignment horizontal="center" vertical="center" wrapText="1"/>
    </xf>
    <xf numFmtId="1" fontId="5" fillId="25" borderId="63" xfId="0" applyNumberFormat="1" applyFont="1" applyFill="1" applyBorder="1" applyAlignment="1">
      <alignment horizontal="center" vertical="center" wrapText="1"/>
    </xf>
    <xf numFmtId="1" fontId="5" fillId="25" borderId="64" xfId="0" applyNumberFormat="1" applyFont="1" applyFill="1" applyBorder="1" applyAlignment="1">
      <alignment horizontal="center" vertical="center" wrapText="1"/>
    </xf>
    <xf numFmtId="1" fontId="5" fillId="25" borderId="65" xfId="0" applyNumberFormat="1" applyFont="1" applyFill="1" applyBorder="1" applyAlignment="1">
      <alignment horizontal="center" vertical="center" wrapText="1"/>
    </xf>
    <xf numFmtId="0" fontId="1" fillId="0" borderId="62" xfId="0" applyFont="1" applyBorder="1" applyAlignment="1">
      <alignment horizontal="center" wrapText="1"/>
    </xf>
    <xf numFmtId="0" fontId="5" fillId="0" borderId="62" xfId="0" applyFont="1" applyBorder="1" applyAlignment="1">
      <alignment horizontal="center" wrapText="1"/>
    </xf>
    <xf numFmtId="0" fontId="82" fillId="0" borderId="40" xfId="0" applyFont="1" applyBorder="1" applyAlignment="1">
      <alignment horizontal="center" vertical="center" wrapText="1"/>
    </xf>
    <xf numFmtId="0" fontId="82" fillId="0" borderId="42" xfId="0" applyFont="1" applyBorder="1" applyAlignment="1">
      <alignment horizontal="center" vertical="center" wrapText="1"/>
    </xf>
    <xf numFmtId="0" fontId="73" fillId="0" borderId="40" xfId="0" applyFont="1" applyBorder="1" applyAlignment="1">
      <alignment vertical="center" wrapText="1"/>
    </xf>
    <xf numFmtId="0" fontId="73" fillId="0" borderId="41" xfId="0" applyFont="1" applyBorder="1" applyAlignment="1">
      <alignment vertical="center" wrapText="1"/>
    </xf>
    <xf numFmtId="0" fontId="73" fillId="0" borderId="42" xfId="0" applyFont="1" applyBorder="1" applyAlignment="1">
      <alignment vertical="center" wrapText="1"/>
    </xf>
    <xf numFmtId="0" fontId="62" fillId="0" borderId="40" xfId="0" applyFont="1" applyBorder="1" applyAlignment="1">
      <alignment horizontal="center" vertical="center" wrapText="1"/>
    </xf>
    <xf numFmtId="0" fontId="62" fillId="0" borderId="42" xfId="0" applyFont="1" applyBorder="1" applyAlignment="1">
      <alignment horizontal="center" vertical="center" wrapText="1"/>
    </xf>
    <xf numFmtId="0" fontId="86" fillId="30" borderId="40" xfId="0" applyFont="1" applyFill="1" applyBorder="1" applyAlignment="1">
      <alignment vertical="center" wrapText="1"/>
    </xf>
    <xf numFmtId="0" fontId="86" fillId="30" borderId="41" xfId="0" applyFont="1" applyFill="1" applyBorder="1" applyAlignment="1">
      <alignment vertical="center" wrapText="1"/>
    </xf>
    <xf numFmtId="0" fontId="86" fillId="30" borderId="42" xfId="0" applyFont="1" applyFill="1" applyBorder="1" applyAlignment="1">
      <alignment vertical="center" wrapText="1"/>
    </xf>
    <xf numFmtId="0" fontId="87" fillId="0" borderId="41" xfId="0" applyFont="1" applyBorder="1" applyAlignment="1">
      <alignment vertical="center" wrapText="1"/>
    </xf>
    <xf numFmtId="0" fontId="87" fillId="0" borderId="42" xfId="0" applyFont="1" applyBorder="1" applyAlignment="1">
      <alignment vertical="center" wrapText="1"/>
    </xf>
    <xf numFmtId="0" fontId="82" fillId="0" borderId="40" xfId="0" applyFont="1" applyBorder="1" applyAlignment="1">
      <alignment vertical="center" wrapText="1"/>
    </xf>
    <xf numFmtId="0" fontId="82" fillId="0" borderId="41" xfId="0" applyFont="1" applyBorder="1" applyAlignment="1">
      <alignment vertical="center" wrapText="1"/>
    </xf>
    <xf numFmtId="0" fontId="82" fillId="0" borderId="42" xfId="0" applyFont="1" applyBorder="1" applyAlignment="1">
      <alignment vertical="center" wrapText="1"/>
    </xf>
    <xf numFmtId="0" fontId="84" fillId="2" borderId="40" xfId="0" applyFont="1" applyFill="1" applyBorder="1" applyAlignment="1">
      <alignment horizontal="center" vertical="center" wrapText="1"/>
    </xf>
    <xf numFmtId="0" fontId="84" fillId="2" borderId="42" xfId="0" applyFont="1" applyFill="1" applyBorder="1" applyAlignment="1">
      <alignment horizontal="center" vertical="center" wrapText="1"/>
    </xf>
    <xf numFmtId="0" fontId="83" fillId="0" borderId="40" xfId="0" applyFont="1" applyBorder="1" applyAlignment="1">
      <alignment vertical="center" wrapText="1"/>
    </xf>
    <xf numFmtId="0" fontId="83" fillId="0" borderId="41" xfId="0" applyFont="1" applyBorder="1" applyAlignment="1">
      <alignment vertical="center" wrapText="1"/>
    </xf>
    <xf numFmtId="0" fontId="83" fillId="0" borderId="42" xfId="0" applyFont="1" applyBorder="1" applyAlignment="1">
      <alignment vertical="center" wrapText="1"/>
    </xf>
    <xf numFmtId="0" fontId="80" fillId="31" borderId="40" xfId="0" applyFont="1" applyFill="1" applyBorder="1" applyAlignment="1">
      <alignment horizontal="center" vertical="center" wrapText="1"/>
    </xf>
    <xf numFmtId="0" fontId="80" fillId="31" borderId="41" xfId="0" applyFont="1" applyFill="1" applyBorder="1" applyAlignment="1">
      <alignment horizontal="center" vertical="center" wrapText="1"/>
    </xf>
    <xf numFmtId="0" fontId="80" fillId="31" borderId="42" xfId="0" applyFont="1" applyFill="1" applyBorder="1" applyAlignment="1">
      <alignment horizontal="center" vertical="center" wrapText="1"/>
    </xf>
    <xf numFmtId="0" fontId="73" fillId="0" borderId="40" xfId="0" applyFont="1" applyBorder="1" applyAlignment="1">
      <alignment horizontal="center" vertical="center" wrapText="1"/>
    </xf>
    <xf numFmtId="0" fontId="73" fillId="0" borderId="42" xfId="0" applyFont="1" applyBorder="1" applyAlignment="1">
      <alignment horizontal="center" vertical="center" wrapText="1"/>
    </xf>
    <xf numFmtId="0" fontId="78" fillId="30" borderId="45" xfId="0" applyFont="1" applyFill="1" applyBorder="1" applyAlignment="1">
      <alignment vertical="center" wrapText="1"/>
    </xf>
    <xf numFmtId="0" fontId="78" fillId="30" borderId="70" xfId="0" applyFont="1" applyFill="1" applyBorder="1" applyAlignment="1">
      <alignment vertical="center" wrapText="1"/>
    </xf>
    <xf numFmtId="0" fontId="79" fillId="30" borderId="46" xfId="0" applyFont="1" applyFill="1" applyBorder="1" applyAlignment="1">
      <alignment vertical="center" wrapText="1"/>
    </xf>
    <xf numFmtId="0" fontId="79" fillId="30" borderId="47" xfId="0" applyFont="1" applyFill="1" applyBorder="1" applyAlignment="1">
      <alignment vertical="center" wrapText="1"/>
    </xf>
    <xf numFmtId="0" fontId="75" fillId="30" borderId="71" xfId="0" applyFont="1" applyFill="1" applyBorder="1" applyAlignment="1">
      <alignment horizontal="left" vertical="center" wrapText="1" indent="1"/>
    </xf>
    <xf numFmtId="0" fontId="75" fillId="30" borderId="72" xfId="0" applyFont="1" applyFill="1" applyBorder="1" applyAlignment="1">
      <alignment horizontal="left" vertical="center" wrapText="1" indent="1"/>
    </xf>
    <xf numFmtId="0" fontId="74" fillId="30" borderId="41" xfId="0" applyFont="1" applyFill="1" applyBorder="1" applyAlignment="1">
      <alignment vertical="center" wrapText="1"/>
    </xf>
    <xf numFmtId="0" fontId="74" fillId="30" borderId="42" xfId="0" applyFont="1" applyFill="1" applyBorder="1" applyAlignment="1">
      <alignment vertical="center" wrapText="1"/>
    </xf>
    <xf numFmtId="0" fontId="72" fillId="0" borderId="45" xfId="0" applyFont="1" applyBorder="1" applyAlignment="1">
      <alignment vertical="center" wrapText="1"/>
    </xf>
    <xf numFmtId="0" fontId="72" fillId="0" borderId="70" xfId="0" applyFont="1" applyBorder="1" applyAlignment="1">
      <alignment vertical="center" wrapText="1"/>
    </xf>
    <xf numFmtId="0" fontId="72" fillId="0" borderId="46" xfId="0" applyFont="1" applyBorder="1" applyAlignment="1">
      <alignment vertical="top" wrapText="1"/>
    </xf>
    <xf numFmtId="0" fontId="72" fillId="0" borderId="47" xfId="0" applyFont="1" applyBorder="1" applyAlignment="1">
      <alignment vertical="top" wrapText="1"/>
    </xf>
    <xf numFmtId="0" fontId="72" fillId="0" borderId="71" xfId="0" applyFont="1" applyBorder="1" applyAlignment="1">
      <alignment vertical="top" wrapText="1"/>
    </xf>
    <xf numFmtId="0" fontId="72" fillId="0" borderId="72" xfId="0" applyFont="1" applyBorder="1" applyAlignment="1">
      <alignment vertical="top" wrapText="1"/>
    </xf>
    <xf numFmtId="0" fontId="73" fillId="0" borderId="41" xfId="0" applyFont="1" applyBorder="1" applyAlignment="1">
      <alignment horizontal="center" vertical="center" wrapText="1"/>
    </xf>
    <xf numFmtId="0" fontId="72" fillId="0" borderId="40" xfId="0" applyFont="1" applyBorder="1" applyAlignment="1">
      <alignment vertical="center" wrapText="1"/>
    </xf>
    <xf numFmtId="0" fontId="72" fillId="0" borderId="41" xfId="0" applyFont="1" applyBorder="1" applyAlignment="1">
      <alignment vertical="center" wrapText="1"/>
    </xf>
    <xf numFmtId="0" fontId="72" fillId="0" borderId="42" xfId="0" applyFont="1" applyBorder="1" applyAlignment="1">
      <alignment vertical="center" wrapText="1"/>
    </xf>
    <xf numFmtId="0" fontId="72" fillId="0" borderId="68" xfId="0" applyFont="1" applyBorder="1" applyAlignment="1">
      <alignment vertical="center" wrapText="1"/>
    </xf>
    <xf numFmtId="0" fontId="72" fillId="0" borderId="0" xfId="0" applyFont="1" applyAlignment="1">
      <alignment vertical="top" wrapText="1"/>
    </xf>
    <xf numFmtId="0" fontId="72" fillId="0" borderId="69" xfId="0" applyFont="1" applyBorder="1" applyAlignment="1">
      <alignment vertical="top" wrapText="1"/>
    </xf>
    <xf numFmtId="0" fontId="72" fillId="0" borderId="45" xfId="0" applyFont="1" applyBorder="1" applyAlignment="1">
      <alignment horizontal="center" vertical="center" wrapText="1"/>
    </xf>
    <xf numFmtId="0" fontId="72" fillId="0" borderId="46" xfId="0" applyFont="1" applyBorder="1" applyAlignment="1">
      <alignment horizontal="center" vertical="center" wrapText="1"/>
    </xf>
    <xf numFmtId="0" fontId="72" fillId="0" borderId="47" xfId="0" applyFont="1" applyBorder="1" applyAlignment="1">
      <alignment horizontal="center" vertical="center" wrapText="1"/>
    </xf>
    <xf numFmtId="0" fontId="72" fillId="0" borderId="70" xfId="0" applyFont="1" applyBorder="1" applyAlignment="1">
      <alignment horizontal="center" vertical="center" wrapText="1"/>
    </xf>
    <xf numFmtId="0" fontId="72" fillId="0" borderId="71" xfId="0" applyFont="1" applyBorder="1" applyAlignment="1">
      <alignment horizontal="center" vertical="center" wrapText="1"/>
    </xf>
    <xf numFmtId="0" fontId="72" fillId="0" borderId="72" xfId="0" applyFont="1" applyBorder="1" applyAlignment="1">
      <alignment horizontal="center" vertical="center" wrapText="1"/>
    </xf>
    <xf numFmtId="0" fontId="0" fillId="0" borderId="46"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wrapText="1"/>
    </xf>
    <xf numFmtId="0" fontId="0" fillId="0" borderId="47" xfId="0" applyBorder="1" applyAlignment="1">
      <alignment horizontal="center" vertical="center" wrapText="1"/>
    </xf>
    <xf numFmtId="0" fontId="0" fillId="0" borderId="72" xfId="0" applyBorder="1" applyAlignment="1">
      <alignment horizontal="center" vertical="center" wrapText="1"/>
    </xf>
    <xf numFmtId="0" fontId="72" fillId="0" borderId="44" xfId="0" applyFont="1" applyBorder="1" applyAlignment="1">
      <alignment horizontal="center" vertical="center" wrapText="1"/>
    </xf>
    <xf numFmtId="0" fontId="72" fillId="0" borderId="73" xfId="0" applyFont="1" applyBorder="1" applyAlignment="1">
      <alignment horizontal="center" vertical="center" wrapText="1"/>
    </xf>
    <xf numFmtId="0" fontId="74" fillId="30" borderId="41" xfId="0" applyFont="1" applyFill="1" applyBorder="1" applyAlignment="1">
      <alignment horizontal="center" vertical="center" wrapText="1"/>
    </xf>
    <xf numFmtId="0" fontId="74" fillId="30" borderId="42" xfId="0" applyFont="1" applyFill="1" applyBorder="1" applyAlignment="1">
      <alignment horizontal="center" vertical="center" wrapText="1"/>
    </xf>
    <xf numFmtId="0" fontId="5" fillId="0" borderId="40" xfId="0" applyFont="1" applyBorder="1" applyAlignment="1">
      <alignment horizontal="left" vertical="center" wrapText="1" indent="1"/>
    </xf>
    <xf numFmtId="0" fontId="5" fillId="0" borderId="41" xfId="0" applyFont="1" applyBorder="1" applyAlignment="1">
      <alignment horizontal="left" vertical="center" wrapText="1" indent="1"/>
    </xf>
    <xf numFmtId="0" fontId="72" fillId="0" borderId="40" xfId="0" applyFont="1" applyBorder="1" applyAlignment="1">
      <alignment horizontal="left" vertical="center" wrapText="1" indent="1"/>
    </xf>
    <xf numFmtId="0" fontId="72" fillId="0" borderId="41" xfId="0" applyFont="1" applyBorder="1" applyAlignment="1">
      <alignment horizontal="left" vertical="center" wrapText="1" indent="1"/>
    </xf>
    <xf numFmtId="0" fontId="72" fillId="0" borderId="42" xfId="0" applyFont="1" applyBorder="1" applyAlignment="1">
      <alignment horizontal="left" vertical="center" wrapText="1" indent="1"/>
    </xf>
    <xf numFmtId="0" fontId="72" fillId="0" borderId="40" xfId="0" applyFont="1" applyBorder="1" applyAlignment="1">
      <alignment horizontal="center" vertical="center" wrapText="1"/>
    </xf>
    <xf numFmtId="0" fontId="72" fillId="0" borderId="41" xfId="0" applyFont="1" applyBorder="1" applyAlignment="1">
      <alignment horizontal="center" vertical="center" wrapText="1"/>
    </xf>
    <xf numFmtId="0" fontId="72" fillId="0" borderId="42"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12" borderId="0" xfId="0" applyFill="1" applyAlignment="1">
      <alignment horizontal="left" vertical="center" wrapText="1"/>
    </xf>
    <xf numFmtId="0" fontId="0" fillId="0" borderId="0" xfId="0" applyAlignment="1">
      <alignment horizontal="left" vertical="center" wrapText="1"/>
    </xf>
    <xf numFmtId="0" fontId="0" fillId="12" borderId="28" xfId="0" applyFill="1"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72" fillId="0" borderId="45" xfId="0" applyFont="1" applyBorder="1" applyAlignment="1">
      <alignment horizontal="left" vertical="center" wrapText="1" indent="1"/>
    </xf>
    <xf numFmtId="0" fontId="72" fillId="0" borderId="46" xfId="0" applyFont="1" applyBorder="1" applyAlignment="1">
      <alignment horizontal="left" vertical="center" wrapText="1" indent="1"/>
    </xf>
    <xf numFmtId="0" fontId="0" fillId="0" borderId="47" xfId="0" applyBorder="1" applyAlignment="1">
      <alignment horizontal="left" vertical="center" wrapText="1" indent="1"/>
    </xf>
    <xf numFmtId="0" fontId="72" fillId="0" borderId="68" xfId="0" applyFont="1" applyBorder="1" applyAlignment="1">
      <alignment horizontal="left" vertical="center" wrapText="1" indent="1"/>
    </xf>
    <xf numFmtId="0" fontId="72" fillId="0" borderId="0" xfId="0" applyFont="1" applyAlignment="1">
      <alignment horizontal="left" vertical="center" wrapText="1" indent="1"/>
    </xf>
    <xf numFmtId="0" fontId="0" fillId="0" borderId="69" xfId="0" applyBorder="1" applyAlignment="1">
      <alignment horizontal="left" vertical="center" wrapText="1" indent="1"/>
    </xf>
    <xf numFmtId="0" fontId="72" fillId="0" borderId="70" xfId="0" applyFont="1" applyBorder="1" applyAlignment="1">
      <alignment horizontal="left" vertical="center" wrapText="1" indent="1"/>
    </xf>
    <xf numFmtId="0" fontId="72" fillId="0" borderId="71" xfId="0" applyFont="1" applyBorder="1" applyAlignment="1">
      <alignment horizontal="left" vertical="center" wrapText="1" indent="1"/>
    </xf>
    <xf numFmtId="0" fontId="0" fillId="0" borderId="72" xfId="0" applyBorder="1" applyAlignment="1">
      <alignment horizontal="left" vertical="center" wrapText="1" indent="1"/>
    </xf>
    <xf numFmtId="0" fontId="73" fillId="12" borderId="40" xfId="0" applyFont="1" applyFill="1" applyBorder="1" applyAlignment="1">
      <alignment horizontal="center" vertical="center" wrapText="1"/>
    </xf>
    <xf numFmtId="0" fontId="73" fillId="12" borderId="41" xfId="0" applyFont="1" applyFill="1" applyBorder="1" applyAlignment="1">
      <alignment horizontal="center" vertical="center" wrapText="1"/>
    </xf>
    <xf numFmtId="0" fontId="73" fillId="12" borderId="42" xfId="0" applyFont="1" applyFill="1" applyBorder="1" applyAlignment="1">
      <alignment horizontal="center" vertical="center" wrapText="1"/>
    </xf>
    <xf numFmtId="0" fontId="73" fillId="29" borderId="40" xfId="0" applyFont="1" applyFill="1" applyBorder="1" applyAlignment="1">
      <alignment horizontal="center" vertical="center" wrapText="1"/>
    </xf>
    <xf numFmtId="0" fontId="73" fillId="29" borderId="41" xfId="0" applyFont="1" applyFill="1" applyBorder="1" applyAlignment="1">
      <alignment horizontal="center" vertical="center" wrapText="1"/>
    </xf>
    <xf numFmtId="0" fontId="73" fillId="29" borderId="42"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0" fillId="0" borderId="45" xfId="0" applyBorder="1" applyAlignment="1">
      <alignment horizontal="left" vertical="top" wrapText="1" indent="1"/>
    </xf>
    <xf numFmtId="0" fontId="0" fillId="0" borderId="46" xfId="0" applyBorder="1" applyAlignment="1">
      <alignment horizontal="left" vertical="top" wrapText="1" indent="1"/>
    </xf>
    <xf numFmtId="0" fontId="0" fillId="0" borderId="47" xfId="0" applyBorder="1" applyAlignment="1">
      <alignment horizontal="left" vertical="top" wrapText="1" indent="1"/>
    </xf>
    <xf numFmtId="0" fontId="0" fillId="0" borderId="68" xfId="0" applyBorder="1" applyAlignment="1">
      <alignment horizontal="left" vertical="top" wrapText="1" indent="1"/>
    </xf>
    <xf numFmtId="0" fontId="0" fillId="0" borderId="0" xfId="0" applyAlignment="1">
      <alignment horizontal="left" vertical="top" wrapText="1" indent="1"/>
    </xf>
    <xf numFmtId="0" fontId="0" fillId="0" borderId="69" xfId="0" applyBorder="1" applyAlignment="1">
      <alignment horizontal="left" vertical="top" wrapText="1" indent="1"/>
    </xf>
    <xf numFmtId="0" fontId="0" fillId="0" borderId="70" xfId="0" applyBorder="1" applyAlignment="1">
      <alignment horizontal="left" vertical="top" wrapText="1" indent="1"/>
    </xf>
    <xf numFmtId="0" fontId="0" fillId="0" borderId="71" xfId="0" applyBorder="1" applyAlignment="1">
      <alignment horizontal="left" vertical="top" wrapText="1" indent="1"/>
    </xf>
    <xf numFmtId="0" fontId="0" fillId="0" borderId="72" xfId="0" applyBorder="1" applyAlignment="1">
      <alignment horizontal="left" vertical="top" wrapText="1" indent="1"/>
    </xf>
    <xf numFmtId="0" fontId="5" fillId="0" borderId="44" xfId="0" applyFont="1" applyBorder="1" applyAlignment="1">
      <alignment horizontal="center" vertical="center" wrapText="1"/>
    </xf>
    <xf numFmtId="0" fontId="92" fillId="17" borderId="45" xfId="0" applyFont="1" applyFill="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92" fillId="17" borderId="46" xfId="0" applyFont="1" applyFill="1" applyBorder="1" applyAlignment="1">
      <alignment horizontal="center" vertical="center" wrapText="1"/>
    </xf>
    <xf numFmtId="0" fontId="88" fillId="4" borderId="45" xfId="0" applyFont="1" applyFill="1" applyBorder="1" applyAlignment="1">
      <alignment horizontal="center" vertical="center" wrapText="1"/>
    </xf>
    <xf numFmtId="0" fontId="88" fillId="4" borderId="46" xfId="0" applyFont="1" applyFill="1" applyBorder="1" applyAlignment="1">
      <alignment horizontal="center" vertical="center" wrapText="1"/>
    </xf>
    <xf numFmtId="0" fontId="88" fillId="4" borderId="47" xfId="0" applyFont="1" applyFill="1" applyBorder="1" applyAlignment="1">
      <alignment horizontal="center" vertical="center" wrapText="1"/>
    </xf>
    <xf numFmtId="0" fontId="88" fillId="4" borderId="68" xfId="0" applyFont="1" applyFill="1" applyBorder="1" applyAlignment="1">
      <alignment horizontal="center" vertical="center" wrapText="1"/>
    </xf>
    <xf numFmtId="0" fontId="88" fillId="4" borderId="0" xfId="0" applyFont="1" applyFill="1" applyAlignment="1">
      <alignment horizontal="center" vertical="center" wrapText="1"/>
    </xf>
    <xf numFmtId="0" fontId="88" fillId="4" borderId="69" xfId="0" applyFont="1" applyFill="1" applyBorder="1" applyAlignment="1">
      <alignment horizontal="center" vertical="center" wrapText="1"/>
    </xf>
    <xf numFmtId="0" fontId="88" fillId="4" borderId="70" xfId="0" applyFont="1" applyFill="1" applyBorder="1" applyAlignment="1">
      <alignment horizontal="center" vertical="center" wrapText="1"/>
    </xf>
    <xf numFmtId="0" fontId="88" fillId="4" borderId="71" xfId="0" applyFont="1" applyFill="1" applyBorder="1" applyAlignment="1">
      <alignment horizontal="center" vertical="center" wrapText="1"/>
    </xf>
    <xf numFmtId="0" fontId="88" fillId="4" borderId="72" xfId="0" applyFont="1" applyFill="1" applyBorder="1" applyAlignment="1">
      <alignment horizontal="center" vertical="center" wrapText="1"/>
    </xf>
    <xf numFmtId="0" fontId="0" fillId="32" borderId="31" xfId="0" applyFill="1" applyBorder="1" applyAlignment="1">
      <alignment horizontal="center" vertical="center" wrapText="1"/>
    </xf>
    <xf numFmtId="0" fontId="0" fillId="32" borderId="32" xfId="0" applyFill="1" applyBorder="1" applyAlignment="1">
      <alignment horizontal="center" vertical="center" wrapText="1"/>
    </xf>
    <xf numFmtId="0" fontId="0" fillId="32" borderId="33" xfId="0" applyFill="1" applyBorder="1" applyAlignment="1">
      <alignment horizontal="center" vertical="center" wrapText="1"/>
    </xf>
  </cellXfs>
  <cellStyles count="1">
    <cellStyle name="Normal" xfId="0" builtinId="0"/>
  </cellStyles>
  <dxfs count="2">
    <dxf>
      <font>
        <b/>
        <i val="0"/>
        <strike val="0"/>
        <color rgb="FFFF00FF"/>
      </font>
    </dxf>
    <dxf>
      <font>
        <b/>
        <i val="0"/>
        <strike val="0"/>
        <color rgb="FFFF00FF"/>
      </font>
    </dxf>
  </dxfs>
  <tableStyles count="0" defaultTableStyle="TableStyleMedium2" defaultPivotStyle="PivotStyleMedium9"/>
  <colors>
    <mruColors>
      <color rgb="FFFF00FF"/>
      <color rgb="FF00FFFF"/>
      <color rgb="FF0000FF"/>
      <color rgb="FFFFDF79"/>
      <color rgb="FFFFFF99"/>
      <color rgb="FFC1FFC1"/>
      <color rgb="FFFFFFCC"/>
      <color rgb="FF99FF99"/>
      <color rgb="FF3333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solidFill>
                  <a:sysClr val="windowText" lastClr="000000"/>
                </a:solidFill>
              </a:rPr>
              <a:t>Electric Diversity Factor</a:t>
            </a: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2404356641048614"/>
          <c:y val="0.20855519327438077"/>
          <c:w val="0.75191286717902772"/>
          <c:h val="0.65181205643352069"/>
        </c:manualLayout>
      </c:layout>
      <c:lineChart>
        <c:grouping val="standard"/>
        <c:varyColors val="0"/>
        <c:ser>
          <c:idx val="1"/>
          <c:order val="1"/>
          <c:tx>
            <c:v>Oven Temperature</c:v>
          </c:tx>
          <c:spPr>
            <a:ln w="28575" cap="rnd">
              <a:solidFill>
                <a:srgbClr val="0000FF"/>
              </a:solidFill>
              <a:round/>
            </a:ln>
            <a:effectLst/>
          </c:spPr>
          <c:marker>
            <c:symbol val="none"/>
          </c:marker>
          <c:cat>
            <c:numLit>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80</c:v>
              </c:pt>
              <c:pt idx="1">
                <c:v>400</c:v>
              </c:pt>
              <c:pt idx="2">
                <c:v>450</c:v>
              </c:pt>
              <c:pt idx="3">
                <c:v>448</c:v>
              </c:pt>
              <c:pt idx="4">
                <c:v>452</c:v>
              </c:pt>
              <c:pt idx="5">
                <c:v>448</c:v>
              </c:pt>
              <c:pt idx="6">
                <c:v>452</c:v>
              </c:pt>
              <c:pt idx="7">
                <c:v>448</c:v>
              </c:pt>
              <c:pt idx="8">
                <c:v>452</c:v>
              </c:pt>
              <c:pt idx="9">
                <c:v>448</c:v>
              </c:pt>
              <c:pt idx="10">
                <c:v>452</c:v>
              </c:pt>
              <c:pt idx="11">
                <c:v>448</c:v>
              </c:pt>
              <c:pt idx="12">
                <c:v>80</c:v>
              </c:pt>
            </c:numLit>
          </c:val>
          <c:smooth val="0"/>
          <c:extLst>
            <c:ext xmlns:c16="http://schemas.microsoft.com/office/drawing/2014/chart" uri="{C3380CC4-5D6E-409C-BE32-E72D297353CC}">
              <c16:uniqueId val="{00000000-8914-4E17-AC40-8DCE4ED43E7C}"/>
            </c:ext>
          </c:extLst>
        </c:ser>
        <c:dLbls>
          <c:showLegendKey val="0"/>
          <c:showVal val="0"/>
          <c:showCatName val="0"/>
          <c:showSerName val="0"/>
          <c:showPercent val="0"/>
          <c:showBubbleSize val="0"/>
        </c:dLbls>
        <c:marker val="1"/>
        <c:smooth val="0"/>
        <c:axId val="808100416"/>
        <c:axId val="808098776"/>
      </c:lineChart>
      <c:lineChart>
        <c:grouping val="standard"/>
        <c:varyColors val="0"/>
        <c:ser>
          <c:idx val="0"/>
          <c:order val="0"/>
          <c:tx>
            <c:v>kW Input</c:v>
          </c:tx>
          <c:spPr>
            <a:ln w="28575" cap="rnd">
              <a:solidFill>
                <a:srgbClr val="C00000"/>
              </a:solidFill>
              <a:round/>
            </a:ln>
            <a:effectLst/>
          </c:spPr>
          <c:marker>
            <c:symbol val="none"/>
          </c:marker>
          <c:cat>
            <c:numLit>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0</c:v>
              </c:pt>
              <c:pt idx="1">
                <c:v>1000</c:v>
              </c:pt>
              <c:pt idx="2">
                <c:v>700</c:v>
              </c:pt>
              <c:pt idx="3">
                <c:v>500</c:v>
              </c:pt>
              <c:pt idx="4">
                <c:v>450</c:v>
              </c:pt>
              <c:pt idx="5">
                <c:v>500</c:v>
              </c:pt>
              <c:pt idx="6">
                <c:v>450</c:v>
              </c:pt>
              <c:pt idx="7">
                <c:v>500</c:v>
              </c:pt>
              <c:pt idx="8">
                <c:v>450</c:v>
              </c:pt>
              <c:pt idx="9">
                <c:v>500</c:v>
              </c:pt>
              <c:pt idx="10">
                <c:v>450</c:v>
              </c:pt>
              <c:pt idx="11">
                <c:v>500</c:v>
              </c:pt>
              <c:pt idx="12">
                <c:v>0</c:v>
              </c:pt>
            </c:numLit>
          </c:val>
          <c:smooth val="0"/>
          <c:extLst>
            <c:ext xmlns:c16="http://schemas.microsoft.com/office/drawing/2014/chart" uri="{C3380CC4-5D6E-409C-BE32-E72D297353CC}">
              <c16:uniqueId val="{00000001-8914-4E17-AC40-8DCE4ED43E7C}"/>
            </c:ext>
          </c:extLst>
        </c:ser>
        <c:dLbls>
          <c:showLegendKey val="0"/>
          <c:showVal val="0"/>
          <c:showCatName val="0"/>
          <c:showSerName val="0"/>
          <c:showPercent val="0"/>
          <c:showBubbleSize val="0"/>
        </c:dLbls>
        <c:marker val="1"/>
        <c:smooth val="0"/>
        <c:axId val="661461672"/>
        <c:axId val="661457080"/>
      </c:lineChart>
      <c:catAx>
        <c:axId val="8081004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Hours</a:t>
                </a:r>
              </a:p>
            </c:rich>
          </c:tx>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098776"/>
        <c:crosses val="autoZero"/>
        <c:auto val="1"/>
        <c:lblAlgn val="ctr"/>
        <c:lblOffset val="100"/>
        <c:noMultiLvlLbl val="0"/>
      </c:catAx>
      <c:valAx>
        <c:axId val="808098776"/>
        <c:scaling>
          <c:orientation val="minMax"/>
          <c:max val="1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Oven kW Input</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100416"/>
        <c:crossesAt val="1"/>
        <c:crossBetween val="midCat"/>
      </c:valAx>
      <c:valAx>
        <c:axId val="661457080"/>
        <c:scaling>
          <c:orientation val="minMax"/>
        </c:scaling>
        <c:delete val="0"/>
        <c:axPos val="r"/>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Oven Temperature</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661461672"/>
        <c:crosses val="max"/>
        <c:crossBetween val="between"/>
      </c:valAx>
      <c:catAx>
        <c:axId val="661461672"/>
        <c:scaling>
          <c:orientation val="minMax"/>
        </c:scaling>
        <c:delete val="1"/>
        <c:axPos val="b"/>
        <c:numFmt formatCode="General" sourceLinked="1"/>
        <c:majorTickMark val="out"/>
        <c:minorTickMark val="none"/>
        <c:tickLblPos val="nextTo"/>
        <c:crossAx val="661457080"/>
        <c:crosses val="autoZero"/>
        <c:auto val="1"/>
        <c:lblAlgn val="ctr"/>
        <c:lblOffset val="100"/>
        <c:noMultiLvlLbl val="0"/>
      </c:catAx>
      <c:spPr>
        <a:noFill/>
        <a:ln>
          <a:solidFill>
            <a:schemeClr val="tx1">
              <a:lumMod val="50000"/>
              <a:lumOff val="50000"/>
            </a:schemeClr>
          </a:solid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n-US" sz="1800" b="1">
                <a:solidFill>
                  <a:schemeClr val="tx1"/>
                </a:solidFill>
              </a:rPr>
              <a:t>Energy Uses by System</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77-48BF-BDE4-1FECCED5C3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77-48BF-BDE4-1FECCED5C3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77-48BF-BDE4-1FECCED5C3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177-48BF-BDE4-1FECCED5C39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77-48BF-BDE4-1FECCED5C39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177-48BF-BDE4-1FECCED5C39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177-48BF-BDE4-1FECCED5C39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177-48BF-BDE4-1FECCED5C39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177-48BF-BDE4-1FECCED5C39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177-48BF-BDE4-1FECCED5C39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177-48BF-BDE4-1FECCED5C39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21E4-45F6-A9EF-741DBD85F2E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6-9FBD-4882-9721-60859B2068F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A-4996-4976-B817-9B302541AA0D}"/>
              </c:ext>
            </c:extLst>
          </c:dPt>
          <c:dLbls>
            <c:dLbl>
              <c:idx val="5"/>
              <c:layout>
                <c:manualLayout>
                  <c:x val="-0.1007767880110008"/>
                  <c:y val="7.616846625497043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77-48BF-BDE4-1FECCED5C39F}"/>
                </c:ext>
              </c:extLst>
            </c:dLbl>
            <c:dLbl>
              <c:idx val="6"/>
              <c:layout>
                <c:manualLayout>
                  <c:x val="-0.13227852746861801"/>
                  <c:y val="0.11570882381966589"/>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8063339930553948"/>
                      <c:h val="3.8552039455665356E-2"/>
                    </c:manualLayout>
                  </c15:layout>
                </c:ext>
                <c:ext xmlns:c16="http://schemas.microsoft.com/office/drawing/2014/chart" uri="{C3380CC4-5D6E-409C-BE32-E72D297353CC}">
                  <c16:uniqueId val="{0000000D-A177-48BF-BDE4-1FECCED5C39F}"/>
                </c:ext>
              </c:extLst>
            </c:dLbl>
            <c:dLbl>
              <c:idx val="7"/>
              <c:layout>
                <c:manualLayout>
                  <c:x val="-0.17138838540905524"/>
                  <c:y val="8.81373293274765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77-48BF-BDE4-1FECCED5C39F}"/>
                </c:ext>
              </c:extLst>
            </c:dLbl>
            <c:dLbl>
              <c:idx val="8"/>
              <c:layout>
                <c:manualLayout>
                  <c:x val="-0.12564980859684194"/>
                  <c:y val="6.3730615525172563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7079556132472538"/>
                      <c:h val="3.6099236734173867E-2"/>
                    </c:manualLayout>
                  </c15:layout>
                </c:ext>
                <c:ext xmlns:c16="http://schemas.microsoft.com/office/drawing/2014/chart" uri="{C3380CC4-5D6E-409C-BE32-E72D297353CC}">
                  <c16:uniqueId val="{00000011-A177-48BF-BDE4-1FECCED5C39F}"/>
                </c:ext>
              </c:extLst>
            </c:dLbl>
            <c:dLbl>
              <c:idx val="9"/>
              <c:layout>
                <c:manualLayout>
                  <c:x val="-0.26039518519718591"/>
                  <c:y val="2.6372536315419963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06898316617656"/>
                      <c:h val="3.8552039455665356E-2"/>
                    </c:manualLayout>
                  </c15:layout>
                </c:ext>
                <c:ext xmlns:c16="http://schemas.microsoft.com/office/drawing/2014/chart" uri="{C3380CC4-5D6E-409C-BE32-E72D297353CC}">
                  <c16:uniqueId val="{00000013-A177-48BF-BDE4-1FECCED5C39F}"/>
                </c:ext>
              </c:extLst>
            </c:dLbl>
            <c:dLbl>
              <c:idx val="10"/>
              <c:layout>
                <c:manualLayout>
                  <c:x val="-0.29176480390516668"/>
                  <c:y val="-7.8663796824478306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177-48BF-BDE4-1FECCED5C39F}"/>
                </c:ext>
              </c:extLst>
            </c:dLbl>
            <c:dLbl>
              <c:idx val="11"/>
              <c:layout>
                <c:manualLayout>
                  <c:x val="-0.18601728678997495"/>
                  <c:y val="-4.3728169265196938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30761268121141105"/>
                      <c:h val="3.1482966052054445E-2"/>
                    </c:manualLayout>
                  </c15:layout>
                </c:ext>
                <c:ext xmlns:c16="http://schemas.microsoft.com/office/drawing/2014/chart" uri="{C3380CC4-5D6E-409C-BE32-E72D297353CC}">
                  <c16:uniqueId val="{00000017-21E4-45F6-A9EF-741DBD85F2EB}"/>
                </c:ext>
              </c:extLst>
            </c:dLbl>
            <c:dLbl>
              <c:idx val="12"/>
              <c:layout>
                <c:manualLayout>
                  <c:x val="0.10701879910306007"/>
                  <c:y val="-3.4662104434218792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2290145894899857"/>
                      <c:h val="3.6099236734173867E-2"/>
                    </c:manualLayout>
                  </c15:layout>
                </c:ext>
                <c:ext xmlns:c16="http://schemas.microsoft.com/office/drawing/2014/chart" uri="{C3380CC4-5D6E-409C-BE32-E72D297353CC}">
                  <c16:uniqueId val="{00000016-9FBD-4882-9721-60859B2068FC}"/>
                </c:ext>
              </c:extLst>
            </c:dLbl>
            <c:dLbl>
              <c:idx val="13"/>
              <c:layout>
                <c:manualLayout>
                  <c:x val="0.15452440828353456"/>
                  <c:y val="6.9244060231791315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A-4996-4976-B817-9B302541AA0D}"/>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'6_Two Key Pies'!$Q$26:$Q$39</c:f>
              <c:strCache>
                <c:ptCount val="14"/>
                <c:pt idx="0">
                  <c:v>Paint - OVENS</c:v>
                </c:pt>
                <c:pt idx="1">
                  <c:v>Boilers - PROCESS</c:v>
                </c:pt>
                <c:pt idx="2">
                  <c:v>Paint - FANS</c:v>
                </c:pt>
                <c:pt idx="3">
                  <c:v>Facility Pumping</c:v>
                </c:pt>
                <c:pt idx="4">
                  <c:v>Facility Chillers</c:v>
                </c:pt>
                <c:pt idx="5">
                  <c:v>Facility HVAC </c:v>
                </c:pt>
                <c:pt idx="6">
                  <c:v>Facility Vehicles</c:v>
                </c:pt>
                <c:pt idx="7">
                  <c:v>Boilers - COMFORT</c:v>
                </c:pt>
                <c:pt idx="8">
                  <c:v>Facility Air Compressors</c:v>
                </c:pt>
                <c:pt idx="9">
                  <c:v>Facility Lighting</c:v>
                </c:pt>
                <c:pt idx="10">
                  <c:v>Paint-PUMPS</c:v>
                </c:pt>
                <c:pt idx="11">
                  <c:v>Paint - Oven Comb. Blowers</c:v>
                </c:pt>
                <c:pt idx="12">
                  <c:v>Facility Cooling Towers</c:v>
                </c:pt>
                <c:pt idx="13">
                  <c:v>Paint - WASHERS</c:v>
                </c:pt>
              </c:strCache>
            </c:strRef>
          </c:cat>
          <c:val>
            <c:numRef>
              <c:f>'6_Two Key Pies'!$P$26:$P$39</c:f>
              <c:numCache>
                <c:formatCode>0.0%</c:formatCode>
                <c:ptCount val="14"/>
                <c:pt idx="0">
                  <c:v>0.32595533964432938</c:v>
                </c:pt>
                <c:pt idx="1">
                  <c:v>0.22986217177027068</c:v>
                </c:pt>
                <c:pt idx="2">
                  <c:v>0.10239338731587892</c:v>
                </c:pt>
                <c:pt idx="3">
                  <c:v>8.1221196928241035E-2</c:v>
                </c:pt>
                <c:pt idx="4">
                  <c:v>7.9753986313142844E-2</c:v>
                </c:pt>
                <c:pt idx="5">
                  <c:v>5.0791504679932695E-2</c:v>
                </c:pt>
                <c:pt idx="6">
                  <c:v>3.8599581589065866E-2</c:v>
                </c:pt>
                <c:pt idx="7">
                  <c:v>1.9988014936545277E-2</c:v>
                </c:pt>
                <c:pt idx="8">
                  <c:v>1.9869187937310868E-2</c:v>
                </c:pt>
                <c:pt idx="9">
                  <c:v>1.6512517140560058E-2</c:v>
                </c:pt>
                <c:pt idx="10">
                  <c:v>9.6989445893409711E-3</c:v>
                </c:pt>
                <c:pt idx="11">
                  <c:v>5.9242893731726509E-3</c:v>
                </c:pt>
                <c:pt idx="12">
                  <c:v>5.70676686919007E-3</c:v>
                </c:pt>
                <c:pt idx="13">
                  <c:v>4.1969047827227421E-3</c:v>
                </c:pt>
              </c:numCache>
            </c:numRef>
          </c:val>
          <c:extLst>
            <c:ext xmlns:c16="http://schemas.microsoft.com/office/drawing/2014/chart" uri="{C3380CC4-5D6E-409C-BE32-E72D297353CC}">
              <c16:uniqueId val="{00000017-1170-4D74-9242-EAE7C6AA9464}"/>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solidFill>
                  <a:sysClr val="windowText" lastClr="000000"/>
                </a:solidFill>
              </a:rPr>
              <a:t>Natural Gas Diversity Factor</a:t>
            </a: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1"/>
          <c:order val="0"/>
          <c:tx>
            <c:v>BTU/HR Input</c:v>
          </c:tx>
          <c:spPr>
            <a:ln w="28575" cap="rnd">
              <a:solidFill>
                <a:srgbClr val="C00000"/>
              </a:solidFill>
              <a:round/>
            </a:ln>
            <a:effectLst/>
          </c:spPr>
          <c:marker>
            <c:symbol val="none"/>
          </c:marker>
          <c:cat>
            <c:numLit>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Lit>
          </c:cat>
          <c:val>
            <c:numLit>
              <c:formatCode>General</c:formatCode>
              <c:ptCount val="17"/>
              <c:pt idx="0">
                <c:v>0</c:v>
              </c:pt>
              <c:pt idx="1">
                <c:v>1000000</c:v>
              </c:pt>
              <c:pt idx="2">
                <c:v>1000000</c:v>
              </c:pt>
              <c:pt idx="3">
                <c:v>1000000</c:v>
              </c:pt>
              <c:pt idx="4">
                <c:v>1000000</c:v>
              </c:pt>
              <c:pt idx="5">
                <c:v>750000</c:v>
              </c:pt>
              <c:pt idx="6">
                <c:v>450000</c:v>
              </c:pt>
              <c:pt idx="7">
                <c:v>500000</c:v>
              </c:pt>
              <c:pt idx="8">
                <c:v>450000</c:v>
              </c:pt>
              <c:pt idx="9">
                <c:v>500000</c:v>
              </c:pt>
              <c:pt idx="10">
                <c:v>450000</c:v>
              </c:pt>
              <c:pt idx="11">
                <c:v>500000</c:v>
              </c:pt>
              <c:pt idx="12">
                <c:v>450000</c:v>
              </c:pt>
              <c:pt idx="13">
                <c:v>500000</c:v>
              </c:pt>
              <c:pt idx="14">
                <c:v>400000</c:v>
              </c:pt>
              <c:pt idx="15">
                <c:v>0</c:v>
              </c:pt>
              <c:pt idx="16">
                <c:v>0</c:v>
              </c:pt>
            </c:numLit>
          </c:val>
          <c:smooth val="0"/>
          <c:extLst>
            <c:ext xmlns:c16="http://schemas.microsoft.com/office/drawing/2014/chart" uri="{C3380CC4-5D6E-409C-BE32-E72D297353CC}">
              <c16:uniqueId val="{00000000-86B1-4E5E-9E7F-5840A74455D7}"/>
            </c:ext>
          </c:extLst>
        </c:ser>
        <c:dLbls>
          <c:showLegendKey val="0"/>
          <c:showVal val="0"/>
          <c:showCatName val="0"/>
          <c:showSerName val="0"/>
          <c:showPercent val="0"/>
          <c:showBubbleSize val="0"/>
        </c:dLbls>
        <c:marker val="1"/>
        <c:smooth val="0"/>
        <c:axId val="808100416"/>
        <c:axId val="808098776"/>
      </c:lineChart>
      <c:lineChart>
        <c:grouping val="standard"/>
        <c:varyColors val="0"/>
        <c:ser>
          <c:idx val="0"/>
          <c:order val="1"/>
          <c:tx>
            <c:v>Oven Temperature</c:v>
          </c:tx>
          <c:spPr>
            <a:ln w="28575" cap="rnd">
              <a:solidFill>
                <a:srgbClr val="0000FF"/>
              </a:solidFill>
              <a:round/>
            </a:ln>
            <a:effectLst/>
          </c:spPr>
          <c:marker>
            <c:symbol val="none"/>
          </c:marker>
          <c:cat>
            <c:numLit>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Lit>
          </c:cat>
          <c:val>
            <c:numLit>
              <c:formatCode>General</c:formatCode>
              <c:ptCount val="17"/>
              <c:pt idx="0">
                <c:v>80</c:v>
              </c:pt>
              <c:pt idx="1">
                <c:v>160</c:v>
              </c:pt>
              <c:pt idx="2">
                <c:v>240</c:v>
              </c:pt>
              <c:pt idx="3">
                <c:v>320</c:v>
              </c:pt>
              <c:pt idx="4">
                <c:v>420</c:v>
              </c:pt>
              <c:pt idx="5">
                <c:v>450</c:v>
              </c:pt>
              <c:pt idx="6">
                <c:v>445</c:v>
              </c:pt>
              <c:pt idx="7">
                <c:v>455</c:v>
              </c:pt>
              <c:pt idx="8">
                <c:v>445</c:v>
              </c:pt>
              <c:pt idx="9">
                <c:v>455</c:v>
              </c:pt>
              <c:pt idx="10">
                <c:v>445</c:v>
              </c:pt>
              <c:pt idx="11">
                <c:v>455</c:v>
              </c:pt>
              <c:pt idx="12">
                <c:v>445</c:v>
              </c:pt>
              <c:pt idx="13">
                <c:v>455</c:v>
              </c:pt>
              <c:pt idx="14">
                <c:v>445</c:v>
              </c:pt>
              <c:pt idx="15">
                <c:v>300</c:v>
              </c:pt>
              <c:pt idx="16">
                <c:v>150</c:v>
              </c:pt>
            </c:numLit>
          </c:val>
          <c:smooth val="0"/>
          <c:extLst>
            <c:ext xmlns:c16="http://schemas.microsoft.com/office/drawing/2014/chart" uri="{C3380CC4-5D6E-409C-BE32-E72D297353CC}">
              <c16:uniqueId val="{00000001-86B1-4E5E-9E7F-5840A74455D7}"/>
            </c:ext>
          </c:extLst>
        </c:ser>
        <c:dLbls>
          <c:showLegendKey val="0"/>
          <c:showVal val="0"/>
          <c:showCatName val="0"/>
          <c:showSerName val="0"/>
          <c:showPercent val="0"/>
          <c:showBubbleSize val="0"/>
        </c:dLbls>
        <c:marker val="1"/>
        <c:smooth val="0"/>
        <c:axId val="661461672"/>
        <c:axId val="661457080"/>
      </c:lineChart>
      <c:catAx>
        <c:axId val="8081004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Hours</a:t>
                </a:r>
              </a:p>
            </c:rich>
          </c:tx>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098776"/>
        <c:crosses val="autoZero"/>
        <c:auto val="1"/>
        <c:lblAlgn val="ctr"/>
        <c:lblOffset val="100"/>
        <c:noMultiLvlLbl val="0"/>
      </c:catAx>
      <c:valAx>
        <c:axId val="808098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Oven BTU/HR  Input</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808100416"/>
        <c:crossesAt val="1"/>
        <c:crossBetween val="midCat"/>
      </c:valAx>
      <c:valAx>
        <c:axId val="661457080"/>
        <c:scaling>
          <c:orientation val="minMax"/>
          <c:max val="1200"/>
        </c:scaling>
        <c:delete val="0"/>
        <c:axPos val="r"/>
        <c:title>
          <c:tx>
            <c:rich>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r>
                  <a:rPr lang="en-US" sz="1400" b="1">
                    <a:solidFill>
                      <a:sysClr val="windowText" lastClr="000000"/>
                    </a:solidFill>
                  </a:rPr>
                  <a:t>Oven Temperature</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661461672"/>
        <c:crosses val="max"/>
        <c:crossBetween val="between"/>
      </c:valAx>
      <c:catAx>
        <c:axId val="661461672"/>
        <c:scaling>
          <c:orientation val="minMax"/>
        </c:scaling>
        <c:delete val="1"/>
        <c:axPos val="b"/>
        <c:numFmt formatCode="General" sourceLinked="1"/>
        <c:majorTickMark val="out"/>
        <c:minorTickMark val="none"/>
        <c:tickLblPos val="nextTo"/>
        <c:crossAx val="661457080"/>
        <c:crosses val="autoZero"/>
        <c:auto val="1"/>
        <c:lblAlgn val="ctr"/>
        <c:lblOffset val="100"/>
        <c:noMultiLvlLbl val="0"/>
      </c:catAx>
      <c:spPr>
        <a:noFill/>
        <a:ln>
          <a:solidFill>
            <a:schemeClr val="tx1">
              <a:lumMod val="50000"/>
              <a:lumOff val="50000"/>
            </a:schemeClr>
          </a:solidFill>
        </a:ln>
        <a:effectLst/>
      </c:spPr>
    </c:plotArea>
    <c:legend>
      <c:legendPos val="t"/>
      <c:layout>
        <c:manualLayout>
          <c:xMode val="edge"/>
          <c:yMode val="edge"/>
          <c:x val="0.26451475002750408"/>
          <c:y val="0.10416287118612103"/>
          <c:w val="0.44701840413660865"/>
          <c:h val="6.1850794681584616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50000"/>
          <a:lumOff val="5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Natural Gas (MMBTU) per Month</a:t>
            </a:r>
          </a:p>
        </c:rich>
      </c:tx>
      <c:layout>
        <c:manualLayout>
          <c:xMode val="edge"/>
          <c:yMode val="edge"/>
          <c:x val="0.28643985393556642"/>
          <c:y val="2.940498889209179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1936869453603622E-2"/>
          <c:y val="0.14177274170715276"/>
          <c:w val="0.89142727374483766"/>
          <c:h val="0.6716078911397847"/>
        </c:manualLayout>
      </c:layout>
      <c:lineChart>
        <c:grouping val="standard"/>
        <c:varyColors val="0"/>
        <c:ser>
          <c:idx val="0"/>
          <c:order val="0"/>
          <c:spPr>
            <a:ln w="28575" cap="rnd">
              <a:solidFill>
                <a:schemeClr val="accent1"/>
              </a:solidFill>
              <a:round/>
            </a:ln>
            <a:effectLst/>
          </c:spPr>
          <c:marker>
            <c:symbol val="none"/>
          </c:marker>
          <c:cat>
            <c:numRef>
              <c:f>'4_Utility Data'!$E$14:$E$133</c:f>
              <c:numCache>
                <c:formatCode>m/d/yyyy;@</c:formatCode>
                <c:ptCount val="1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numCache>
            </c:numRef>
          </c:cat>
          <c:val>
            <c:numRef>
              <c:f>'4_Utility Data'!$I$14:$I$133</c:f>
              <c:numCache>
                <c:formatCode>#,##0_);[Red]\(#,##0\)</c:formatCode>
                <c:ptCount val="120"/>
                <c:pt idx="0">
                  <c:v>28488.814992217202</c:v>
                </c:pt>
                <c:pt idx="1">
                  <c:v>32422.203652063799</c:v>
                </c:pt>
                <c:pt idx="2">
                  <c:v>17444.7237207486</c:v>
                </c:pt>
                <c:pt idx="3">
                  <c:v>14317.414709983203</c:v>
                </c:pt>
                <c:pt idx="4">
                  <c:v>10882.0752625962</c:v>
                </c:pt>
                <c:pt idx="5">
                  <c:v>10488.036327437401</c:v>
                </c:pt>
                <c:pt idx="6">
                  <c:v>11142.1009558482</c:v>
                </c:pt>
                <c:pt idx="7">
                  <c:v>12509.236043061599</c:v>
                </c:pt>
                <c:pt idx="8">
                  <c:v>20976.072654874803</c:v>
                </c:pt>
                <c:pt idx="9">
                  <c:v>29793.943952578204</c:v>
                </c:pt>
                <c:pt idx="10">
                  <c:v>28847.850468668999</c:v>
                </c:pt>
                <c:pt idx="11">
                  <c:v>55985.531954795995</c:v>
                </c:pt>
                <c:pt idx="12">
                  <c:v>42321.179385903997</c:v>
                </c:pt>
                <c:pt idx="13">
                  <c:v>36844.640293773991</c:v>
                </c:pt>
                <c:pt idx="14">
                  <c:v>25581.524650968</c:v>
                </c:pt>
                <c:pt idx="15">
                  <c:v>16016.969883619999</c:v>
                </c:pt>
                <c:pt idx="16">
                  <c:v>12239.919769571999</c:v>
                </c:pt>
                <c:pt idx="17">
                  <c:v>12110.063881478</c:v>
                </c:pt>
                <c:pt idx="18">
                  <c:v>11220.109005038001</c:v>
                </c:pt>
                <c:pt idx="19">
                  <c:v>9346.7338584939989</c:v>
                </c:pt>
                <c:pt idx="20">
                  <c:v>9349.9207991219992</c:v>
                </c:pt>
                <c:pt idx="21">
                  <c:v>19785.203022739999</c:v>
                </c:pt>
                <c:pt idx="22">
                  <c:v>32025.163738015999</c:v>
                </c:pt>
                <c:pt idx="23">
                  <c:v>31179.034413424</c:v>
                </c:pt>
                <c:pt idx="24">
                  <c:v>51993.394057635996</c:v>
                </c:pt>
                <c:pt idx="25">
                  <c:v>52387.298554399997</c:v>
                </c:pt>
                <c:pt idx="26">
                  <c:v>32939.013844882</c:v>
                </c:pt>
                <c:pt idx="27">
                  <c:v>19383.300465127999</c:v>
                </c:pt>
                <c:pt idx="28">
                  <c:v>12739.911173257999</c:v>
                </c:pt>
                <c:pt idx="29">
                  <c:v>9263.7539771960001</c:v>
                </c:pt>
                <c:pt idx="30">
                  <c:v>8335.9789188279992</c:v>
                </c:pt>
                <c:pt idx="31">
                  <c:v>7873.0911472500002</c:v>
                </c:pt>
                <c:pt idx="32">
                  <c:v>13135.815185234</c:v>
                </c:pt>
                <c:pt idx="33">
                  <c:v>26244.636915105999</c:v>
                </c:pt>
                <c:pt idx="34">
                  <c:v>22605.519229265999</c:v>
                </c:pt>
                <c:pt idx="35">
                  <c:v>23669.261322049999</c:v>
                </c:pt>
                <c:pt idx="36">
                  <c:v>47500.483376271994</c:v>
                </c:pt>
                <c:pt idx="37">
                  <c:v>39078.525303327995</c:v>
                </c:pt>
                <c:pt idx="38">
                  <c:v>20974.914573879996</c:v>
                </c:pt>
                <c:pt idx="39">
                  <c:v>17483.761013727999</c:v>
                </c:pt>
                <c:pt idx="40">
                  <c:v>13286.778583740001</c:v>
                </c:pt>
                <c:pt idx="41">
                  <c:v>9288.7479173459997</c:v>
                </c:pt>
                <c:pt idx="42">
                  <c:v>9292.7469477699997</c:v>
                </c:pt>
                <c:pt idx="43">
                  <c:v>7227.2477337739992</c:v>
                </c:pt>
                <c:pt idx="44">
                  <c:v>5742.6076888639991</c:v>
                </c:pt>
                <c:pt idx="45">
                  <c:v>14201.55679323</c:v>
                </c:pt>
                <c:pt idx="46">
                  <c:v>19508.270165877999</c:v>
                </c:pt>
                <c:pt idx="47">
                  <c:v>31373.393433885998</c:v>
                </c:pt>
                <c:pt idx="48">
                  <c:v>32001.241210453998</c:v>
                </c:pt>
                <c:pt idx="49">
                  <c:v>21817.710235737999</c:v>
                </c:pt>
                <c:pt idx="50">
                  <c:v>26198.648065229998</c:v>
                </c:pt>
                <c:pt idx="51">
                  <c:v>13132.815912415999</c:v>
                </c:pt>
                <c:pt idx="52">
                  <c:v>12861.881601189998</c:v>
                </c:pt>
                <c:pt idx="53">
                  <c:v>9127.7869427799997</c:v>
                </c:pt>
                <c:pt idx="54">
                  <c:v>6982.3071203039999</c:v>
                </c:pt>
                <c:pt idx="55">
                  <c:v>8608.9127452659995</c:v>
                </c:pt>
                <c:pt idx="56">
                  <c:v>10680.410504897998</c:v>
                </c:pt>
                <c:pt idx="57">
                  <c:v>15576.223501479999</c:v>
                </c:pt>
                <c:pt idx="58">
                  <c:v>22275.599219285999</c:v>
                </c:pt>
                <c:pt idx="59">
                  <c:v>25349.853857736001</c:v>
                </c:pt>
                <c:pt idx="60">
                  <c:v>41514.934589149998</c:v>
                </c:pt>
                <c:pt idx="61">
                  <c:v>21098.884517023998</c:v>
                </c:pt>
                <c:pt idx="62">
                  <c:v>27004.452695666001</c:v>
                </c:pt>
                <c:pt idx="63">
                  <c:v>16802.926084041999</c:v>
                </c:pt>
                <c:pt idx="64">
                  <c:v>11622.18216975</c:v>
                </c:pt>
                <c:pt idx="65">
                  <c:v>9299.7452510119983</c:v>
                </c:pt>
                <c:pt idx="66">
                  <c:v>7777.114417073999</c:v>
                </c:pt>
                <c:pt idx="67">
                  <c:v>10242.51667347</c:v>
                </c:pt>
                <c:pt idx="68">
                  <c:v>10056.561758754</c:v>
                </c:pt>
                <c:pt idx="69">
                  <c:v>22888.450631764001</c:v>
                </c:pt>
                <c:pt idx="70">
                  <c:v>35436.408344669995</c:v>
                </c:pt>
                <c:pt idx="71">
                  <c:v>34455.646133183996</c:v>
                </c:pt>
                <c:pt idx="72">
                  <c:v>45895.872418642</c:v>
                </c:pt>
                <c:pt idx="73">
                  <c:v>33061.984030419997</c:v>
                </c:pt>
                <c:pt idx="74">
                  <c:v>36307.197219495996</c:v>
                </c:pt>
                <c:pt idx="75">
                  <c:v>20636.996503052</c:v>
                </c:pt>
                <c:pt idx="76">
                  <c:v>13491.728892969999</c:v>
                </c:pt>
                <c:pt idx="77">
                  <c:v>10538.444924845999</c:v>
                </c:pt>
                <c:pt idx="78">
                  <c:v>8232.0041278040007</c:v>
                </c:pt>
                <c:pt idx="79">
                  <c:v>9419.7161637320005</c:v>
                </c:pt>
                <c:pt idx="80">
                  <c:v>8081.040729297999</c:v>
                </c:pt>
                <c:pt idx="81">
                  <c:v>15618.213320932</c:v>
                </c:pt>
                <c:pt idx="82">
                  <c:v>26107.670123084001</c:v>
                </c:pt>
                <c:pt idx="83">
                  <c:v>26989.456331575999</c:v>
                </c:pt>
                <c:pt idx="84">
                  <c:v>34587.614137175995</c:v>
                </c:pt>
                <c:pt idx="85">
                  <c:v>28926.986572003996</c:v>
                </c:pt>
                <c:pt idx="86">
                  <c:v>20378.059283097999</c:v>
                </c:pt>
                <c:pt idx="87">
                  <c:v>10472.460922850001</c:v>
                </c:pt>
                <c:pt idx="88">
                  <c:v>4390.9354055519998</c:v>
                </c:pt>
                <c:pt idx="89">
                  <c:v>9578.6776230859996</c:v>
                </c:pt>
                <c:pt idx="90">
                  <c:v>5877.5749656739999</c:v>
                </c:pt>
                <c:pt idx="91">
                  <c:v>6449.4363163059998</c:v>
                </c:pt>
                <c:pt idx="92">
                  <c:v>11101.308457024001</c:v>
                </c:pt>
                <c:pt idx="93">
                  <c:v>16244.061582288001</c:v>
                </c:pt>
                <c:pt idx="94">
                  <c:v>19623.042339046799</c:v>
                </c:pt>
                <c:pt idx="95">
                  <c:v>33263.003552065995</c:v>
                </c:pt>
                <c:pt idx="96">
                  <c:v>37189</c:v>
                </c:pt>
                <c:pt idx="97">
                  <c:v>30016</c:v>
                </c:pt>
                <c:pt idx="98">
                  <c:v>25802</c:v>
                </c:pt>
                <c:pt idx="99">
                  <c:v>14093</c:v>
                </c:pt>
                <c:pt idx="100">
                  <c:v>11594</c:v>
                </c:pt>
                <c:pt idx="101">
                  <c:v>7205</c:v>
                </c:pt>
                <c:pt idx="102">
                  <c:v>5554</c:v>
                </c:pt>
                <c:pt idx="103">
                  <c:v>6234</c:v>
                </c:pt>
                <c:pt idx="104">
                  <c:v>7855</c:v>
                </c:pt>
                <c:pt idx="105">
                  <c:v>14928</c:v>
                </c:pt>
                <c:pt idx="106">
                  <c:v>34656</c:v>
                </c:pt>
                <c:pt idx="107">
                  <c:v>28568</c:v>
                </c:pt>
                <c:pt idx="108">
                  <c:v>56032</c:v>
                </c:pt>
                <c:pt idx="109">
                  <c:v>32117.885284723998</c:v>
                </c:pt>
                <c:pt idx="110">
                  <c:v>26777.903527576</c:v>
                </c:pt>
                <c:pt idx="111">
                  <c:v>18569.93452802</c:v>
                </c:pt>
                <c:pt idx="112">
                  <c:v>13949.952266434</c:v>
                </c:pt>
                <c:pt idx="113">
                  <c:v>9165.9688117599999</c:v>
                </c:pt>
                <c:pt idx="114">
                  <c:v>6805.9744460279999</c:v>
                </c:pt>
                <c:pt idx="115">
                  <c:v>7684.9729345059995</c:v>
                </c:pt>
                <c:pt idx="116">
                  <c:v>13693.949488599999</c:v>
                </c:pt>
                <c:pt idx="117">
                  <c:v>27418.901699411999</c:v>
                </c:pt>
                <c:pt idx="118">
                  <c:v>30363.928283895999</c:v>
                </c:pt>
                <c:pt idx="119">
                  <c:v>37158.134252165997</c:v>
                </c:pt>
              </c:numCache>
            </c:numRef>
          </c:val>
          <c:smooth val="0"/>
          <c:extLst>
            <c:ext xmlns:c16="http://schemas.microsoft.com/office/drawing/2014/chart" uri="{C3380CC4-5D6E-409C-BE32-E72D297353CC}">
              <c16:uniqueId val="{00000000-60FA-41E2-8F21-9C159BA23413}"/>
            </c:ext>
          </c:extLst>
        </c:ser>
        <c:dLbls>
          <c:showLegendKey val="0"/>
          <c:showVal val="0"/>
          <c:showCatName val="0"/>
          <c:showSerName val="0"/>
          <c:showPercent val="0"/>
          <c:showBubbleSize val="0"/>
        </c:dLbls>
        <c:smooth val="0"/>
        <c:axId val="859712240"/>
        <c:axId val="859714208"/>
      </c:lineChart>
      <c:dateAx>
        <c:axId val="85971224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9714208"/>
        <c:crosses val="autoZero"/>
        <c:auto val="1"/>
        <c:lblOffset val="100"/>
        <c:baseTimeUnit val="months"/>
      </c:dateAx>
      <c:valAx>
        <c:axId val="85971420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59712240"/>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Electric (kWh) per Month</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'4_Utility Data'!$E$14:$E$133</c:f>
              <c:numCache>
                <c:formatCode>m/d/yyyy;@</c:formatCode>
                <c:ptCount val="1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numCache>
            </c:numRef>
          </c:cat>
          <c:val>
            <c:numRef>
              <c:f>'4_Utility Data'!$F$14:$F$133</c:f>
              <c:numCache>
                <c:formatCode>#,##0_);[Red]\(#,##0\)</c:formatCode>
                <c:ptCount val="120"/>
                <c:pt idx="0">
                  <c:v>4164952</c:v>
                </c:pt>
                <c:pt idx="1">
                  <c:v>3504019</c:v>
                </c:pt>
                <c:pt idx="2">
                  <c:v>4297455</c:v>
                </c:pt>
                <c:pt idx="3">
                  <c:v>4530771</c:v>
                </c:pt>
                <c:pt idx="4">
                  <c:v>5562059</c:v>
                </c:pt>
                <c:pt idx="5">
                  <c:v>5781759</c:v>
                </c:pt>
                <c:pt idx="6">
                  <c:v>6006005</c:v>
                </c:pt>
                <c:pt idx="7">
                  <c:v>5728576</c:v>
                </c:pt>
                <c:pt idx="8">
                  <c:v>4810119</c:v>
                </c:pt>
                <c:pt idx="9">
                  <c:v>4724452</c:v>
                </c:pt>
                <c:pt idx="10">
                  <c:v>4397447</c:v>
                </c:pt>
                <c:pt idx="11">
                  <c:v>4397447</c:v>
                </c:pt>
                <c:pt idx="12">
                  <c:v>3517235</c:v>
                </c:pt>
                <c:pt idx="13">
                  <c:v>4423642</c:v>
                </c:pt>
                <c:pt idx="14">
                  <c:v>7031119</c:v>
                </c:pt>
                <c:pt idx="15">
                  <c:v>4821998</c:v>
                </c:pt>
                <c:pt idx="16">
                  <c:v>5268644</c:v>
                </c:pt>
                <c:pt idx="17">
                  <c:v>5906435</c:v>
                </c:pt>
                <c:pt idx="18">
                  <c:v>6056663</c:v>
                </c:pt>
                <c:pt idx="19">
                  <c:v>6548698</c:v>
                </c:pt>
                <c:pt idx="20">
                  <c:v>6105600</c:v>
                </c:pt>
                <c:pt idx="21">
                  <c:v>5024764</c:v>
                </c:pt>
                <c:pt idx="22">
                  <c:v>4887568</c:v>
                </c:pt>
                <c:pt idx="23">
                  <c:v>4537911</c:v>
                </c:pt>
                <c:pt idx="24">
                  <c:v>4022006</c:v>
                </c:pt>
                <c:pt idx="25">
                  <c:v>4967702</c:v>
                </c:pt>
                <c:pt idx="26">
                  <c:v>4621016</c:v>
                </c:pt>
                <c:pt idx="27">
                  <c:v>4864901</c:v>
                </c:pt>
                <c:pt idx="28">
                  <c:v>5446778</c:v>
                </c:pt>
                <c:pt idx="29">
                  <c:v>6179017</c:v>
                </c:pt>
                <c:pt idx="30">
                  <c:v>6642565</c:v>
                </c:pt>
                <c:pt idx="31">
                  <c:v>7073003</c:v>
                </c:pt>
                <c:pt idx="32">
                  <c:v>6234949</c:v>
                </c:pt>
                <c:pt idx="33">
                  <c:v>5603891</c:v>
                </c:pt>
                <c:pt idx="34">
                  <c:v>5039779</c:v>
                </c:pt>
                <c:pt idx="35">
                  <c:v>4243891</c:v>
                </c:pt>
                <c:pt idx="36">
                  <c:v>3514215</c:v>
                </c:pt>
                <c:pt idx="37">
                  <c:v>4406172</c:v>
                </c:pt>
                <c:pt idx="38">
                  <c:v>3869150</c:v>
                </c:pt>
                <c:pt idx="39">
                  <c:v>4236179</c:v>
                </c:pt>
                <c:pt idx="40">
                  <c:v>4400509</c:v>
                </c:pt>
                <c:pt idx="41">
                  <c:v>5072456</c:v>
                </c:pt>
                <c:pt idx="42">
                  <c:v>5533482</c:v>
                </c:pt>
                <c:pt idx="43">
                  <c:v>5302696</c:v>
                </c:pt>
                <c:pt idx="44">
                  <c:v>4960000</c:v>
                </c:pt>
                <c:pt idx="45">
                  <c:v>4618775</c:v>
                </c:pt>
                <c:pt idx="46">
                  <c:v>3942547</c:v>
                </c:pt>
                <c:pt idx="47">
                  <c:v>3748018</c:v>
                </c:pt>
                <c:pt idx="48">
                  <c:v>3532063</c:v>
                </c:pt>
                <c:pt idx="49">
                  <c:v>3841201</c:v>
                </c:pt>
                <c:pt idx="50">
                  <c:v>3644224</c:v>
                </c:pt>
                <c:pt idx="51">
                  <c:v>4170606</c:v>
                </c:pt>
                <c:pt idx="52">
                  <c:v>4426660</c:v>
                </c:pt>
                <c:pt idx="53">
                  <c:v>5320647</c:v>
                </c:pt>
                <c:pt idx="54">
                  <c:v>5913117</c:v>
                </c:pt>
                <c:pt idx="55">
                  <c:v>6029935</c:v>
                </c:pt>
                <c:pt idx="56">
                  <c:v>5337856</c:v>
                </c:pt>
                <c:pt idx="57">
                  <c:v>4837630</c:v>
                </c:pt>
                <c:pt idx="58">
                  <c:v>3941820</c:v>
                </c:pt>
                <c:pt idx="59">
                  <c:v>3524584.83</c:v>
                </c:pt>
                <c:pt idx="60">
                  <c:v>3439105.67</c:v>
                </c:pt>
                <c:pt idx="61">
                  <c:v>3453525.9</c:v>
                </c:pt>
                <c:pt idx="62">
                  <c:v>3912945.94</c:v>
                </c:pt>
                <c:pt idx="63">
                  <c:v>4304298.05</c:v>
                </c:pt>
                <c:pt idx="64">
                  <c:v>5625730.2999999998</c:v>
                </c:pt>
                <c:pt idx="65">
                  <c:v>6320328.6900000004</c:v>
                </c:pt>
                <c:pt idx="66">
                  <c:v>6811817.9900000002</c:v>
                </c:pt>
                <c:pt idx="67">
                  <c:v>6822148.75</c:v>
                </c:pt>
                <c:pt idx="68">
                  <c:v>6471340.71</c:v>
                </c:pt>
                <c:pt idx="69">
                  <c:v>5897388.4100000001</c:v>
                </c:pt>
                <c:pt idx="70">
                  <c:v>4659986.07</c:v>
                </c:pt>
                <c:pt idx="71">
                  <c:v>4270928.59</c:v>
                </c:pt>
                <c:pt idx="72">
                  <c:v>4259273.03</c:v>
                </c:pt>
                <c:pt idx="73">
                  <c:v>4544952.29</c:v>
                </c:pt>
                <c:pt idx="74">
                  <c:v>5137117.66</c:v>
                </c:pt>
                <c:pt idx="75">
                  <c:v>5327516.18</c:v>
                </c:pt>
                <c:pt idx="76">
                  <c:v>6146168.6500000004</c:v>
                </c:pt>
                <c:pt idx="77">
                  <c:v>6367530.1399999997</c:v>
                </c:pt>
                <c:pt idx="78">
                  <c:v>6937601.0700000003</c:v>
                </c:pt>
                <c:pt idx="79">
                  <c:v>6938641.0499999998</c:v>
                </c:pt>
                <c:pt idx="80">
                  <c:v>6206459.54</c:v>
                </c:pt>
                <c:pt idx="81">
                  <c:v>5299505.1399999997</c:v>
                </c:pt>
                <c:pt idx="82">
                  <c:v>3974166.29</c:v>
                </c:pt>
                <c:pt idx="83">
                  <c:v>3640532.63</c:v>
                </c:pt>
                <c:pt idx="84">
                  <c:v>3546853.24</c:v>
                </c:pt>
                <c:pt idx="85">
                  <c:v>3851758.86</c:v>
                </c:pt>
                <c:pt idx="86">
                  <c:v>3738484.75</c:v>
                </c:pt>
                <c:pt idx="87">
                  <c:v>2781418</c:v>
                </c:pt>
                <c:pt idx="88">
                  <c:v>3630649.4</c:v>
                </c:pt>
                <c:pt idx="89">
                  <c:v>4903768.43</c:v>
                </c:pt>
                <c:pt idx="90">
                  <c:v>5572275.9400000004</c:v>
                </c:pt>
                <c:pt idx="91">
                  <c:v>5615811.2999999998</c:v>
                </c:pt>
                <c:pt idx="92">
                  <c:v>4828128.04</c:v>
                </c:pt>
                <c:pt idx="93">
                  <c:v>4627658.8899999997</c:v>
                </c:pt>
                <c:pt idx="94">
                  <c:v>4092344.03</c:v>
                </c:pt>
                <c:pt idx="95">
                  <c:v>2504360</c:v>
                </c:pt>
                <c:pt idx="96">
                  <c:v>3611280.71</c:v>
                </c:pt>
                <c:pt idx="97">
                  <c:v>3566421.42</c:v>
                </c:pt>
                <c:pt idx="98">
                  <c:v>4150632.61</c:v>
                </c:pt>
                <c:pt idx="99">
                  <c:v>4063020.91</c:v>
                </c:pt>
                <c:pt idx="100">
                  <c:v>4688616.53</c:v>
                </c:pt>
                <c:pt idx="101">
                  <c:v>5028490.5199999996</c:v>
                </c:pt>
                <c:pt idx="102">
                  <c:v>5561279.1900000004</c:v>
                </c:pt>
                <c:pt idx="103">
                  <c:v>5612547</c:v>
                </c:pt>
                <c:pt idx="104">
                  <c:v>4932260.26</c:v>
                </c:pt>
                <c:pt idx="105">
                  <c:v>4636218.78</c:v>
                </c:pt>
                <c:pt idx="106">
                  <c:v>4192553.82</c:v>
                </c:pt>
                <c:pt idx="107">
                  <c:v>3959841.47</c:v>
                </c:pt>
                <c:pt idx="108">
                  <c:v>2176625.88</c:v>
                </c:pt>
                <c:pt idx="109">
                  <c:v>3991824</c:v>
                </c:pt>
                <c:pt idx="110">
                  <c:v>3758008</c:v>
                </c:pt>
                <c:pt idx="111">
                  <c:v>4207109</c:v>
                </c:pt>
                <c:pt idx="112">
                  <c:v>4607630</c:v>
                </c:pt>
                <c:pt idx="113">
                  <c:v>5386322</c:v>
                </c:pt>
                <c:pt idx="114">
                  <c:v>6048984</c:v>
                </c:pt>
                <c:pt idx="115">
                  <c:v>6349929</c:v>
                </c:pt>
                <c:pt idx="116">
                  <c:v>5734642</c:v>
                </c:pt>
                <c:pt idx="117">
                  <c:v>3282269</c:v>
                </c:pt>
                <c:pt idx="118">
                  <c:v>4423942</c:v>
                </c:pt>
                <c:pt idx="119">
                  <c:v>2719362</c:v>
                </c:pt>
              </c:numCache>
            </c:numRef>
          </c:val>
          <c:smooth val="0"/>
          <c:extLst>
            <c:ext xmlns:c16="http://schemas.microsoft.com/office/drawing/2014/chart" uri="{C3380CC4-5D6E-409C-BE32-E72D297353CC}">
              <c16:uniqueId val="{00000000-B5C3-4AE8-8BA4-54C525A99C48}"/>
            </c:ext>
          </c:extLst>
        </c:ser>
        <c:dLbls>
          <c:showLegendKey val="0"/>
          <c:showVal val="0"/>
          <c:showCatName val="0"/>
          <c:showSerName val="0"/>
          <c:showPercent val="0"/>
          <c:showBubbleSize val="0"/>
        </c:dLbls>
        <c:smooth val="0"/>
        <c:axId val="1032369472"/>
        <c:axId val="1032368160"/>
      </c:lineChart>
      <c:dateAx>
        <c:axId val="103236947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32368160"/>
        <c:crosses val="autoZero"/>
        <c:auto val="1"/>
        <c:lblOffset val="100"/>
        <c:baseTimeUnit val="months"/>
      </c:dateAx>
      <c:valAx>
        <c:axId val="10323681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03236947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Natural Gas (MMBTU) versus HDD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50396741976917714"/>
                  <c:y val="1.1260423295411548E-2"/>
                </c:manualLayout>
              </c:layout>
              <c:numFmt formatCode="General"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rendlineLbl>
          </c:trendline>
          <c:xVal>
            <c:numRef>
              <c:f>'4_Utility Data'!$M$14:$M$133</c:f>
              <c:numCache>
                <c:formatCode>#,##0_);[Red]\(#,##0\)</c:formatCode>
                <c:ptCount val="120"/>
                <c:pt idx="0">
                  <c:v>771</c:v>
                </c:pt>
                <c:pt idx="1">
                  <c:v>749</c:v>
                </c:pt>
                <c:pt idx="2">
                  <c:v>755</c:v>
                </c:pt>
                <c:pt idx="3">
                  <c:v>281</c:v>
                </c:pt>
                <c:pt idx="4">
                  <c:v>130</c:v>
                </c:pt>
                <c:pt idx="5">
                  <c:v>0</c:v>
                </c:pt>
                <c:pt idx="6">
                  <c:v>0</c:v>
                </c:pt>
                <c:pt idx="7">
                  <c:v>6</c:v>
                </c:pt>
                <c:pt idx="8">
                  <c:v>36</c:v>
                </c:pt>
                <c:pt idx="9">
                  <c:v>233</c:v>
                </c:pt>
                <c:pt idx="10">
                  <c:v>643</c:v>
                </c:pt>
                <c:pt idx="11">
                  <c:v>719</c:v>
                </c:pt>
                <c:pt idx="12">
                  <c:v>1068</c:v>
                </c:pt>
                <c:pt idx="13">
                  <c:v>693</c:v>
                </c:pt>
                <c:pt idx="14">
                  <c:v>711</c:v>
                </c:pt>
                <c:pt idx="15">
                  <c:v>284</c:v>
                </c:pt>
                <c:pt idx="16">
                  <c:v>70</c:v>
                </c:pt>
                <c:pt idx="17">
                  <c:v>2</c:v>
                </c:pt>
                <c:pt idx="18">
                  <c:v>0</c:v>
                </c:pt>
                <c:pt idx="19">
                  <c:v>1</c:v>
                </c:pt>
                <c:pt idx="20">
                  <c:v>31</c:v>
                </c:pt>
                <c:pt idx="21">
                  <c:v>223</c:v>
                </c:pt>
                <c:pt idx="22">
                  <c:v>688</c:v>
                </c:pt>
                <c:pt idx="23">
                  <c:v>729</c:v>
                </c:pt>
                <c:pt idx="24">
                  <c:v>922</c:v>
                </c:pt>
                <c:pt idx="25">
                  <c:v>922</c:v>
                </c:pt>
                <c:pt idx="26">
                  <c:v>543</c:v>
                </c:pt>
                <c:pt idx="27">
                  <c:v>274</c:v>
                </c:pt>
                <c:pt idx="28">
                  <c:v>47</c:v>
                </c:pt>
                <c:pt idx="29">
                  <c:v>6</c:v>
                </c:pt>
                <c:pt idx="30">
                  <c:v>0</c:v>
                </c:pt>
                <c:pt idx="31">
                  <c:v>0</c:v>
                </c:pt>
                <c:pt idx="32">
                  <c:v>34</c:v>
                </c:pt>
                <c:pt idx="33">
                  <c:v>256</c:v>
                </c:pt>
                <c:pt idx="34">
                  <c:v>446</c:v>
                </c:pt>
                <c:pt idx="35">
                  <c:v>475</c:v>
                </c:pt>
                <c:pt idx="36">
                  <c:v>956</c:v>
                </c:pt>
                <c:pt idx="37">
                  <c:v>752</c:v>
                </c:pt>
                <c:pt idx="38">
                  <c:v>398</c:v>
                </c:pt>
                <c:pt idx="39">
                  <c:v>287</c:v>
                </c:pt>
                <c:pt idx="40">
                  <c:v>107</c:v>
                </c:pt>
                <c:pt idx="41">
                  <c:v>0</c:v>
                </c:pt>
                <c:pt idx="42">
                  <c:v>0</c:v>
                </c:pt>
                <c:pt idx="43">
                  <c:v>0</c:v>
                </c:pt>
                <c:pt idx="44">
                  <c:v>0</c:v>
                </c:pt>
                <c:pt idx="45">
                  <c:v>166</c:v>
                </c:pt>
                <c:pt idx="46">
                  <c:v>479</c:v>
                </c:pt>
                <c:pt idx="47">
                  <c:v>767</c:v>
                </c:pt>
                <c:pt idx="48">
                  <c:v>751</c:v>
                </c:pt>
                <c:pt idx="49">
                  <c:v>484</c:v>
                </c:pt>
                <c:pt idx="50">
                  <c:v>557</c:v>
                </c:pt>
                <c:pt idx="51">
                  <c:v>160</c:v>
                </c:pt>
                <c:pt idx="52">
                  <c:v>72</c:v>
                </c:pt>
                <c:pt idx="53">
                  <c:v>2</c:v>
                </c:pt>
                <c:pt idx="54">
                  <c:v>0</c:v>
                </c:pt>
                <c:pt idx="55">
                  <c:v>0</c:v>
                </c:pt>
                <c:pt idx="56">
                  <c:v>41</c:v>
                </c:pt>
                <c:pt idx="57">
                  <c:v>232</c:v>
                </c:pt>
                <c:pt idx="58">
                  <c:v>554</c:v>
                </c:pt>
                <c:pt idx="59">
                  <c:v>787</c:v>
                </c:pt>
                <c:pt idx="60">
                  <c:v>1024</c:v>
                </c:pt>
                <c:pt idx="61">
                  <c:v>492</c:v>
                </c:pt>
                <c:pt idx="62">
                  <c:v>651</c:v>
                </c:pt>
                <c:pt idx="63">
                  <c:v>322</c:v>
                </c:pt>
                <c:pt idx="64">
                  <c:v>20</c:v>
                </c:pt>
                <c:pt idx="65">
                  <c:v>0</c:v>
                </c:pt>
                <c:pt idx="66">
                  <c:v>0</c:v>
                </c:pt>
                <c:pt idx="67">
                  <c:v>0</c:v>
                </c:pt>
                <c:pt idx="68">
                  <c:v>0</c:v>
                </c:pt>
                <c:pt idx="69">
                  <c:v>243</c:v>
                </c:pt>
                <c:pt idx="70">
                  <c:v>621</c:v>
                </c:pt>
                <c:pt idx="71">
                  <c:v>760</c:v>
                </c:pt>
                <c:pt idx="72">
                  <c:v>779</c:v>
                </c:pt>
                <c:pt idx="73">
                  <c:v>580</c:v>
                </c:pt>
                <c:pt idx="74">
                  <c:v>601</c:v>
                </c:pt>
                <c:pt idx="75">
                  <c:v>210</c:v>
                </c:pt>
                <c:pt idx="76">
                  <c:v>26</c:v>
                </c:pt>
                <c:pt idx="77">
                  <c:v>1</c:v>
                </c:pt>
                <c:pt idx="78">
                  <c:v>0</c:v>
                </c:pt>
                <c:pt idx="79">
                  <c:v>2</c:v>
                </c:pt>
                <c:pt idx="80">
                  <c:v>8</c:v>
                </c:pt>
                <c:pt idx="81">
                  <c:v>161</c:v>
                </c:pt>
                <c:pt idx="82">
                  <c:v>627</c:v>
                </c:pt>
                <c:pt idx="83">
                  <c:v>699</c:v>
                </c:pt>
                <c:pt idx="84">
                  <c:v>708</c:v>
                </c:pt>
                <c:pt idx="85">
                  <c:v>625</c:v>
                </c:pt>
                <c:pt idx="86">
                  <c:v>368</c:v>
                </c:pt>
                <c:pt idx="87">
                  <c:v>271</c:v>
                </c:pt>
                <c:pt idx="88">
                  <c:v>179</c:v>
                </c:pt>
                <c:pt idx="89">
                  <c:v>20</c:v>
                </c:pt>
                <c:pt idx="90">
                  <c:v>0</c:v>
                </c:pt>
                <c:pt idx="91">
                  <c:v>0</c:v>
                </c:pt>
                <c:pt idx="92">
                  <c:v>63</c:v>
                </c:pt>
                <c:pt idx="93">
                  <c:v>157</c:v>
                </c:pt>
                <c:pt idx="94">
                  <c:v>363</c:v>
                </c:pt>
                <c:pt idx="95">
                  <c:v>762</c:v>
                </c:pt>
                <c:pt idx="96">
                  <c:v>854</c:v>
                </c:pt>
                <c:pt idx="97">
                  <c:v>733</c:v>
                </c:pt>
                <c:pt idx="98">
                  <c:v>457</c:v>
                </c:pt>
                <c:pt idx="99">
                  <c:v>275</c:v>
                </c:pt>
                <c:pt idx="100">
                  <c:v>102</c:v>
                </c:pt>
                <c:pt idx="101">
                  <c:v>3</c:v>
                </c:pt>
                <c:pt idx="102">
                  <c:v>0</c:v>
                </c:pt>
                <c:pt idx="103">
                  <c:v>0</c:v>
                </c:pt>
                <c:pt idx="104">
                  <c:v>25</c:v>
                </c:pt>
                <c:pt idx="105">
                  <c:v>128</c:v>
                </c:pt>
                <c:pt idx="106">
                  <c:v>605</c:v>
                </c:pt>
                <c:pt idx="107">
                  <c:v>391</c:v>
                </c:pt>
                <c:pt idx="108">
                  <c:v>885</c:v>
                </c:pt>
                <c:pt idx="109">
                  <c:v>622</c:v>
                </c:pt>
                <c:pt idx="110">
                  <c:v>432</c:v>
                </c:pt>
                <c:pt idx="111">
                  <c:v>238</c:v>
                </c:pt>
                <c:pt idx="112">
                  <c:v>32</c:v>
                </c:pt>
                <c:pt idx="113">
                  <c:v>0</c:v>
                </c:pt>
                <c:pt idx="114">
                  <c:v>0</c:v>
                </c:pt>
                <c:pt idx="115">
                  <c:v>0</c:v>
                </c:pt>
                <c:pt idx="116">
                  <c:v>29</c:v>
                </c:pt>
                <c:pt idx="117">
                  <c:v>259</c:v>
                </c:pt>
                <c:pt idx="118">
                  <c:v>498</c:v>
                </c:pt>
                <c:pt idx="119">
                  <c:v>782</c:v>
                </c:pt>
              </c:numCache>
            </c:numRef>
          </c:xVal>
          <c:yVal>
            <c:numRef>
              <c:f>'4_Utility Data'!$I$14:$I$133</c:f>
              <c:numCache>
                <c:formatCode>#,##0_);[Red]\(#,##0\)</c:formatCode>
                <c:ptCount val="120"/>
                <c:pt idx="0">
                  <c:v>28488.814992217202</c:v>
                </c:pt>
                <c:pt idx="1">
                  <c:v>32422.203652063799</c:v>
                </c:pt>
                <c:pt idx="2">
                  <c:v>17444.7237207486</c:v>
                </c:pt>
                <c:pt idx="3">
                  <c:v>14317.414709983203</c:v>
                </c:pt>
                <c:pt idx="4">
                  <c:v>10882.0752625962</c:v>
                </c:pt>
                <c:pt idx="5">
                  <c:v>10488.036327437401</c:v>
                </c:pt>
                <c:pt idx="6">
                  <c:v>11142.1009558482</c:v>
                </c:pt>
                <c:pt idx="7">
                  <c:v>12509.236043061599</c:v>
                </c:pt>
                <c:pt idx="8">
                  <c:v>20976.072654874803</c:v>
                </c:pt>
                <c:pt idx="9">
                  <c:v>29793.943952578204</c:v>
                </c:pt>
                <c:pt idx="10">
                  <c:v>28847.850468668999</c:v>
                </c:pt>
                <c:pt idx="11">
                  <c:v>55985.531954795995</c:v>
                </c:pt>
                <c:pt idx="12">
                  <c:v>42321.179385903997</c:v>
                </c:pt>
                <c:pt idx="13">
                  <c:v>36844.640293773991</c:v>
                </c:pt>
                <c:pt idx="14">
                  <c:v>25581.524650968</c:v>
                </c:pt>
                <c:pt idx="15">
                  <c:v>16016.969883619999</c:v>
                </c:pt>
                <c:pt idx="16">
                  <c:v>12239.919769571999</c:v>
                </c:pt>
                <c:pt idx="17">
                  <c:v>12110.063881478</c:v>
                </c:pt>
                <c:pt idx="18">
                  <c:v>11220.109005038001</c:v>
                </c:pt>
                <c:pt idx="19">
                  <c:v>9346.7338584939989</c:v>
                </c:pt>
                <c:pt idx="20">
                  <c:v>9349.9207991219992</c:v>
                </c:pt>
                <c:pt idx="21">
                  <c:v>19785.203022739999</c:v>
                </c:pt>
                <c:pt idx="22">
                  <c:v>32025.163738015999</c:v>
                </c:pt>
                <c:pt idx="23">
                  <c:v>31179.034413424</c:v>
                </c:pt>
                <c:pt idx="24">
                  <c:v>51993.394057635996</c:v>
                </c:pt>
                <c:pt idx="25">
                  <c:v>52387.298554399997</c:v>
                </c:pt>
                <c:pt idx="26">
                  <c:v>32939.013844882</c:v>
                </c:pt>
                <c:pt idx="27">
                  <c:v>19383.300465127999</c:v>
                </c:pt>
                <c:pt idx="28">
                  <c:v>12739.911173257999</c:v>
                </c:pt>
                <c:pt idx="29">
                  <c:v>9263.7539771960001</c:v>
                </c:pt>
                <c:pt idx="30">
                  <c:v>8335.9789188279992</c:v>
                </c:pt>
                <c:pt idx="31">
                  <c:v>7873.0911472500002</c:v>
                </c:pt>
                <c:pt idx="32">
                  <c:v>13135.815185234</c:v>
                </c:pt>
                <c:pt idx="33">
                  <c:v>26244.636915105999</c:v>
                </c:pt>
                <c:pt idx="34">
                  <c:v>22605.519229265999</c:v>
                </c:pt>
                <c:pt idx="35">
                  <c:v>23669.261322049999</c:v>
                </c:pt>
                <c:pt idx="36">
                  <c:v>47500.483376271994</c:v>
                </c:pt>
                <c:pt idx="37">
                  <c:v>39078.525303327995</c:v>
                </c:pt>
                <c:pt idx="38">
                  <c:v>20974.914573879996</c:v>
                </c:pt>
                <c:pt idx="39">
                  <c:v>17483.761013727999</c:v>
                </c:pt>
                <c:pt idx="40">
                  <c:v>13286.778583740001</c:v>
                </c:pt>
                <c:pt idx="41">
                  <c:v>9288.7479173459997</c:v>
                </c:pt>
                <c:pt idx="42">
                  <c:v>9292.7469477699997</c:v>
                </c:pt>
                <c:pt idx="43">
                  <c:v>7227.2477337739992</c:v>
                </c:pt>
                <c:pt idx="44">
                  <c:v>5742.6076888639991</c:v>
                </c:pt>
                <c:pt idx="45">
                  <c:v>14201.55679323</c:v>
                </c:pt>
                <c:pt idx="46">
                  <c:v>19508.270165877999</c:v>
                </c:pt>
                <c:pt idx="47">
                  <c:v>31373.393433885998</c:v>
                </c:pt>
                <c:pt idx="48">
                  <c:v>32001.241210453998</c:v>
                </c:pt>
                <c:pt idx="49">
                  <c:v>21817.710235737999</c:v>
                </c:pt>
                <c:pt idx="50">
                  <c:v>26198.648065229998</c:v>
                </c:pt>
                <c:pt idx="51">
                  <c:v>13132.815912415999</c:v>
                </c:pt>
                <c:pt idx="52">
                  <c:v>12861.881601189998</c:v>
                </c:pt>
                <c:pt idx="53">
                  <c:v>9127.7869427799997</c:v>
                </c:pt>
                <c:pt idx="54">
                  <c:v>6982.3071203039999</c:v>
                </c:pt>
                <c:pt idx="55">
                  <c:v>8608.9127452659995</c:v>
                </c:pt>
                <c:pt idx="56">
                  <c:v>10680.410504897998</c:v>
                </c:pt>
                <c:pt idx="57">
                  <c:v>15576.223501479999</c:v>
                </c:pt>
                <c:pt idx="58">
                  <c:v>22275.599219285999</c:v>
                </c:pt>
                <c:pt idx="59">
                  <c:v>25349.853857736001</c:v>
                </c:pt>
                <c:pt idx="60">
                  <c:v>41514.934589149998</c:v>
                </c:pt>
                <c:pt idx="61">
                  <c:v>21098.884517023998</c:v>
                </c:pt>
                <c:pt idx="62">
                  <c:v>27004.452695666001</c:v>
                </c:pt>
                <c:pt idx="63">
                  <c:v>16802.926084041999</c:v>
                </c:pt>
                <c:pt idx="64">
                  <c:v>11622.18216975</c:v>
                </c:pt>
                <c:pt idx="65">
                  <c:v>9299.7452510119983</c:v>
                </c:pt>
                <c:pt idx="66">
                  <c:v>7777.114417073999</c:v>
                </c:pt>
                <c:pt idx="67">
                  <c:v>10242.51667347</c:v>
                </c:pt>
                <c:pt idx="68">
                  <c:v>10056.561758754</c:v>
                </c:pt>
                <c:pt idx="69">
                  <c:v>22888.450631764001</c:v>
                </c:pt>
                <c:pt idx="70">
                  <c:v>35436.408344669995</c:v>
                </c:pt>
                <c:pt idx="71">
                  <c:v>34455.646133183996</c:v>
                </c:pt>
                <c:pt idx="72">
                  <c:v>45895.872418642</c:v>
                </c:pt>
                <c:pt idx="73">
                  <c:v>33061.984030419997</c:v>
                </c:pt>
                <c:pt idx="74">
                  <c:v>36307.197219495996</c:v>
                </c:pt>
                <c:pt idx="75">
                  <c:v>20636.996503052</c:v>
                </c:pt>
                <c:pt idx="76">
                  <c:v>13491.728892969999</c:v>
                </c:pt>
                <c:pt idx="77">
                  <c:v>10538.444924845999</c:v>
                </c:pt>
                <c:pt idx="78">
                  <c:v>8232.0041278040007</c:v>
                </c:pt>
                <c:pt idx="79">
                  <c:v>9419.7161637320005</c:v>
                </c:pt>
                <c:pt idx="80">
                  <c:v>8081.040729297999</c:v>
                </c:pt>
                <c:pt idx="81">
                  <c:v>15618.213320932</c:v>
                </c:pt>
                <c:pt idx="82">
                  <c:v>26107.670123084001</c:v>
                </c:pt>
                <c:pt idx="83">
                  <c:v>26989.456331575999</c:v>
                </c:pt>
                <c:pt idx="84">
                  <c:v>34587.614137175995</c:v>
                </c:pt>
                <c:pt idx="85">
                  <c:v>28926.986572003996</c:v>
                </c:pt>
                <c:pt idx="86">
                  <c:v>20378.059283097999</c:v>
                </c:pt>
                <c:pt idx="87">
                  <c:v>10472.460922850001</c:v>
                </c:pt>
                <c:pt idx="88">
                  <c:v>4390.9354055519998</c:v>
                </c:pt>
                <c:pt idx="89">
                  <c:v>9578.6776230859996</c:v>
                </c:pt>
                <c:pt idx="90">
                  <c:v>5877.5749656739999</c:v>
                </c:pt>
                <c:pt idx="91">
                  <c:v>6449.4363163059998</c:v>
                </c:pt>
                <c:pt idx="92">
                  <c:v>11101.308457024001</c:v>
                </c:pt>
                <c:pt idx="93">
                  <c:v>16244.061582288001</c:v>
                </c:pt>
                <c:pt idx="94">
                  <c:v>19623.042339046799</c:v>
                </c:pt>
                <c:pt idx="95">
                  <c:v>33263.003552065995</c:v>
                </c:pt>
                <c:pt idx="96">
                  <c:v>37189</c:v>
                </c:pt>
                <c:pt idx="97">
                  <c:v>30016</c:v>
                </c:pt>
                <c:pt idx="98">
                  <c:v>25802</c:v>
                </c:pt>
                <c:pt idx="99">
                  <c:v>14093</c:v>
                </c:pt>
                <c:pt idx="100">
                  <c:v>11594</c:v>
                </c:pt>
                <c:pt idx="101">
                  <c:v>7205</c:v>
                </c:pt>
                <c:pt idx="102">
                  <c:v>5554</c:v>
                </c:pt>
                <c:pt idx="103">
                  <c:v>6234</c:v>
                </c:pt>
                <c:pt idx="104">
                  <c:v>7855</c:v>
                </c:pt>
                <c:pt idx="105">
                  <c:v>14928</c:v>
                </c:pt>
                <c:pt idx="106">
                  <c:v>34656</c:v>
                </c:pt>
                <c:pt idx="107">
                  <c:v>28568</c:v>
                </c:pt>
                <c:pt idx="108">
                  <c:v>56032</c:v>
                </c:pt>
                <c:pt idx="109">
                  <c:v>32117.885284723998</c:v>
                </c:pt>
                <c:pt idx="110">
                  <c:v>26777.903527576</c:v>
                </c:pt>
                <c:pt idx="111">
                  <c:v>18569.93452802</c:v>
                </c:pt>
                <c:pt idx="112">
                  <c:v>13949.952266434</c:v>
                </c:pt>
                <c:pt idx="113">
                  <c:v>9165.9688117599999</c:v>
                </c:pt>
                <c:pt idx="114">
                  <c:v>6805.9744460279999</c:v>
                </c:pt>
                <c:pt idx="115">
                  <c:v>7684.9729345059995</c:v>
                </c:pt>
                <c:pt idx="116">
                  <c:v>13693.949488599999</c:v>
                </c:pt>
                <c:pt idx="117">
                  <c:v>27418.901699411999</c:v>
                </c:pt>
                <c:pt idx="118">
                  <c:v>30363.928283895999</c:v>
                </c:pt>
                <c:pt idx="119">
                  <c:v>37158.134252165997</c:v>
                </c:pt>
              </c:numCache>
            </c:numRef>
          </c:yVal>
          <c:smooth val="0"/>
          <c:extLst>
            <c:ext xmlns:c16="http://schemas.microsoft.com/office/drawing/2014/chart" uri="{C3380CC4-5D6E-409C-BE32-E72D297353CC}">
              <c16:uniqueId val="{00000000-7A39-41B1-8EE4-54B4F8BDA556}"/>
            </c:ext>
          </c:extLst>
        </c:ser>
        <c:dLbls>
          <c:showLegendKey val="0"/>
          <c:showVal val="0"/>
          <c:showCatName val="0"/>
          <c:showSerName val="0"/>
          <c:showPercent val="0"/>
          <c:showBubbleSize val="0"/>
        </c:dLbls>
        <c:axId val="1032361272"/>
        <c:axId val="1032362912"/>
      </c:scatterChart>
      <c:valAx>
        <c:axId val="1032361272"/>
        <c:scaling>
          <c:orientation val="minMax"/>
        </c:scaling>
        <c:delete val="0"/>
        <c:axPos val="b"/>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032362912"/>
        <c:crosses val="autoZero"/>
        <c:crossBetween val="midCat"/>
      </c:valAx>
      <c:valAx>
        <c:axId val="10323629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0323612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Total MMBTU Per Month</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8601272706167822E-2"/>
          <c:y val="0.12949070011779401"/>
          <c:w val="0.87557715014073412"/>
          <c:h val="0.70791447259281359"/>
        </c:manualLayout>
      </c:layout>
      <c:lineChart>
        <c:grouping val="standard"/>
        <c:varyColors val="0"/>
        <c:ser>
          <c:idx val="0"/>
          <c:order val="0"/>
          <c:spPr>
            <a:ln w="28575" cap="rnd">
              <a:solidFill>
                <a:schemeClr val="accent1"/>
              </a:solidFill>
              <a:round/>
            </a:ln>
            <a:effectLst/>
          </c:spPr>
          <c:marker>
            <c:symbol val="none"/>
          </c:marker>
          <c:cat>
            <c:numRef>
              <c:f>'4_Utility Data'!$E$14:$E$133</c:f>
              <c:numCache>
                <c:formatCode>m/d/yyyy;@</c:formatCode>
                <c:ptCount val="12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numCache>
            </c:numRef>
          </c:cat>
          <c:val>
            <c:numRef>
              <c:f>'4_Utility Data'!$P$14:$P$133</c:f>
              <c:numCache>
                <c:formatCode>#,##0_);[Red]\(#,##0\)</c:formatCode>
                <c:ptCount val="120"/>
                <c:pt idx="0">
                  <c:v>42700.222639401203</c:v>
                </c:pt>
                <c:pt idx="1">
                  <c:v>44378.414050761799</c:v>
                </c:pt>
                <c:pt idx="2">
                  <c:v>32108.250419358599</c:v>
                </c:pt>
                <c:pt idx="3">
                  <c:v>29777.048731465202</c:v>
                </c:pt>
                <c:pt idx="4">
                  <c:v>29860.610382974199</c:v>
                </c:pt>
                <c:pt idx="5">
                  <c:v>30216.219045215403</c:v>
                </c:pt>
                <c:pt idx="6">
                  <c:v>31635.442868558199</c:v>
                </c:pt>
                <c:pt idx="7">
                  <c:v>32055.9508128536</c:v>
                </c:pt>
                <c:pt idx="8">
                  <c:v>37388.881719772806</c:v>
                </c:pt>
                <c:pt idx="9">
                  <c:v>45914.445048762202</c:v>
                </c:pt>
                <c:pt idx="10">
                  <c:v>43852.564070143002</c:v>
                </c:pt>
                <c:pt idx="11">
                  <c:v>70990.245556269991</c:v>
                </c:pt>
                <c:pt idx="12">
                  <c:v>54322.484653273998</c:v>
                </c:pt>
                <c:pt idx="13">
                  <c:v>51938.734954937994</c:v>
                </c:pt>
                <c:pt idx="14">
                  <c:v>49572.701097865996</c:v>
                </c:pt>
                <c:pt idx="15">
                  <c:v>32470.311783336001</c:v>
                </c:pt>
                <c:pt idx="16">
                  <c:v>30217.281245019996</c:v>
                </c:pt>
                <c:pt idx="17">
                  <c:v>32263.658815248</c:v>
                </c:pt>
                <c:pt idx="18">
                  <c:v>31886.303207183999</c:v>
                </c:pt>
                <c:pt idx="19">
                  <c:v>31691.82134961</c:v>
                </c:pt>
                <c:pt idx="20">
                  <c:v>30183.094994322</c:v>
                </c:pt>
                <c:pt idx="21">
                  <c:v>36930.411307228002</c:v>
                </c:pt>
                <c:pt idx="22">
                  <c:v>48702.239788671999</c:v>
                </c:pt>
                <c:pt idx="23">
                  <c:v>46663.031128786002</c:v>
                </c:pt>
                <c:pt idx="24">
                  <c:v>65717.049654488001</c:v>
                </c:pt>
                <c:pt idx="25">
                  <c:v>69337.803192084</c:v>
                </c:pt>
                <c:pt idx="26">
                  <c:v>48706.576621154003</c:v>
                </c:pt>
                <c:pt idx="27">
                  <c:v>35983.033493069997</c:v>
                </c:pt>
                <c:pt idx="28">
                  <c:v>31325.091151733996</c:v>
                </c:pt>
                <c:pt idx="29">
                  <c:v>30347.437401609997</c:v>
                </c:pt>
                <c:pt idx="30">
                  <c:v>31001.353943057999</c:v>
                </c:pt>
                <c:pt idx="31">
                  <c:v>32007.181749676001</c:v>
                </c:pt>
                <c:pt idx="32">
                  <c:v>34410.346535992001</c:v>
                </c:pt>
                <c:pt idx="33">
                  <c:v>45365.908759628001</c:v>
                </c:pt>
                <c:pt idx="34">
                  <c:v>39801.960825884002</c:v>
                </c:pt>
                <c:pt idx="35">
                  <c:v>38150.020046571997</c:v>
                </c:pt>
                <c:pt idx="36">
                  <c:v>59491.483974801995</c:v>
                </c:pt>
                <c:pt idx="37">
                  <c:v>54113.009843751992</c:v>
                </c:pt>
                <c:pt idx="38">
                  <c:v>34177.003793179996</c:v>
                </c:pt>
                <c:pt idx="39">
                  <c:v>31938.205299146</c:v>
                </c:pt>
                <c:pt idx="40">
                  <c:v>28301.940164018</c:v>
                </c:pt>
                <c:pt idx="41">
                  <c:v>26596.688078097999</c:v>
                </c:pt>
                <c:pt idx="42">
                  <c:v>28173.773286214</c:v>
                </c:pt>
                <c:pt idx="43">
                  <c:v>25320.799468605997</c:v>
                </c:pt>
                <c:pt idx="44">
                  <c:v>22666.832008863999</c:v>
                </c:pt>
                <c:pt idx="45">
                  <c:v>29961.472959279999</c:v>
                </c:pt>
                <c:pt idx="46">
                  <c:v>32960.800371551995</c:v>
                </c:pt>
                <c:pt idx="47">
                  <c:v>44162.163068442002</c:v>
                </c:pt>
                <c:pt idx="48">
                  <c:v>44053.141719399995</c:v>
                </c:pt>
                <c:pt idx="49">
                  <c:v>34924.433498279999</c:v>
                </c:pt>
                <c:pt idx="50">
                  <c:v>38633.257833037998</c:v>
                </c:pt>
                <c:pt idx="51">
                  <c:v>27363.515810468001</c:v>
                </c:pt>
                <c:pt idx="52">
                  <c:v>27966.274106910001</c:v>
                </c:pt>
                <c:pt idx="53">
                  <c:v>27282.590038654002</c:v>
                </c:pt>
                <c:pt idx="54">
                  <c:v>27158.701986918</c:v>
                </c:pt>
                <c:pt idx="55">
                  <c:v>29183.907216036001</c:v>
                </c:pt>
                <c:pt idx="56">
                  <c:v>28893.933152449998</c:v>
                </c:pt>
                <c:pt idx="57">
                  <c:v>32082.904004939999</c:v>
                </c:pt>
                <c:pt idx="58">
                  <c:v>35725.648797725997</c:v>
                </c:pt>
                <c:pt idx="59">
                  <c:v>37376.237788741862</c:v>
                </c:pt>
                <c:pt idx="60">
                  <c:v>53249.651488195137</c:v>
                </c:pt>
                <c:pt idx="61">
                  <c:v>32882.805288501797</c:v>
                </c:pt>
                <c:pt idx="62">
                  <c:v>40355.979881269479</c:v>
                </c:pt>
                <c:pt idx="63">
                  <c:v>31489.802240965098</c:v>
                </c:pt>
                <c:pt idx="64">
                  <c:v>30817.972807052596</c:v>
                </c:pt>
                <c:pt idx="65">
                  <c:v>30865.604227965978</c:v>
                </c:pt>
                <c:pt idx="66">
                  <c:v>31020.004677108576</c:v>
                </c:pt>
                <c:pt idx="67">
                  <c:v>33520.656953592501</c:v>
                </c:pt>
                <c:pt idx="68">
                  <c:v>32137.695191654813</c:v>
                </c:pt>
                <c:pt idx="69">
                  <c:v>43011.17731583822</c:v>
                </c:pt>
                <c:pt idx="70">
                  <c:v>51336.942533531932</c:v>
                </c:pt>
                <c:pt idx="71">
                  <c:v>49028.660954123778</c:v>
                </c:pt>
                <c:pt idx="72">
                  <c:v>60429.116813772263</c:v>
                </c:pt>
                <c:pt idx="73">
                  <c:v>48570.006627125178</c:v>
                </c:pt>
                <c:pt idx="74">
                  <c:v>53835.772146123716</c:v>
                </c:pt>
                <c:pt idx="75">
                  <c:v>38815.238216509562</c:v>
                </c:pt>
                <c:pt idx="76">
                  <c:v>34463.329082718301</c:v>
                </c:pt>
                <c:pt idx="77">
                  <c:v>32265.361951805877</c:v>
                </c:pt>
                <c:pt idx="78">
                  <c:v>31904.084117995943</c:v>
                </c:pt>
                <c:pt idx="79">
                  <c:v>33095.344713361097</c:v>
                </c:pt>
                <c:pt idx="80">
                  <c:v>29258.36199703268</c:v>
                </c:pt>
                <c:pt idx="81">
                  <c:v>33700.877388341876</c:v>
                </c:pt>
                <c:pt idx="82">
                  <c:v>39668.089836177183</c:v>
                </c:pt>
                <c:pt idx="83">
                  <c:v>39411.470620769454</c:v>
                </c:pt>
                <c:pt idx="84">
                  <c:v>46689.981045216075</c:v>
                </c:pt>
                <c:pt idx="85">
                  <c:v>42069.734752082113</c:v>
                </c:pt>
                <c:pt idx="86">
                  <c:v>33134.300114932499</c:v>
                </c:pt>
                <c:pt idx="87">
                  <c:v>19963.054100205998</c:v>
                </c:pt>
                <c:pt idx="88">
                  <c:v>16779.2267105668</c:v>
                </c:pt>
                <c:pt idx="89">
                  <c:v>26311.031841363059</c:v>
                </c:pt>
                <c:pt idx="90">
                  <c:v>24890.971736137482</c:v>
                </c:pt>
                <c:pt idx="91">
                  <c:v>25611.381917110601</c:v>
                </c:pt>
                <c:pt idx="92">
                  <c:v>27575.566923685677</c:v>
                </c:pt>
                <c:pt idx="93">
                  <c:v>32034.290842530379</c:v>
                </c:pt>
                <c:pt idx="94">
                  <c:v>33586.701282259062</c:v>
                </c:pt>
                <c:pt idx="95">
                  <c:v>41808.235491185995</c:v>
                </c:pt>
                <c:pt idx="96">
                  <c:v>49511.202584380822</c:v>
                </c:pt>
                <c:pt idx="97">
                  <c:v>42185.136316881639</c:v>
                </c:pt>
                <c:pt idx="98">
                  <c:v>39964.547855150617</c:v>
                </c:pt>
                <c:pt idx="99">
                  <c:v>27956.604293889221</c:v>
                </c:pt>
                <c:pt idx="100">
                  <c:v>27592.225383907258</c:v>
                </c:pt>
                <c:pt idx="101">
                  <c:v>24362.92369989384</c:v>
                </c:pt>
                <c:pt idx="102">
                  <c:v>24529.87429792498</c:v>
                </c:pt>
                <c:pt idx="103">
                  <c:v>25384.807345673998</c:v>
                </c:pt>
                <c:pt idx="104">
                  <c:v>24684.572388076918</c:v>
                </c:pt>
                <c:pt idx="105">
                  <c:v>30747.436820426759</c:v>
                </c:pt>
                <c:pt idx="106">
                  <c:v>48961.588976482439</c:v>
                </c:pt>
                <c:pt idx="107">
                  <c:v>42079.54139312874</c:v>
                </c:pt>
                <c:pt idx="108">
                  <c:v>63458.956583434963</c:v>
                </c:pt>
                <c:pt idx="109">
                  <c:v>45738.555611731994</c:v>
                </c:pt>
                <c:pt idx="110">
                  <c:v>39600.760460712001</c:v>
                </c:pt>
                <c:pt idx="111">
                  <c:v>32925.187845498003</c:v>
                </c:pt>
                <c:pt idx="112">
                  <c:v>29671.840109894001</c:v>
                </c:pt>
                <c:pt idx="113">
                  <c:v>27544.864333484002</c:v>
                </c:pt>
                <c:pt idx="114">
                  <c:v>27445.966809755999</c:v>
                </c:pt>
                <c:pt idx="115">
                  <c:v>29351.832372424</c:v>
                </c:pt>
                <c:pt idx="116">
                  <c:v>33261.362311763995</c:v>
                </c:pt>
                <c:pt idx="117">
                  <c:v>38618.469609610001</c:v>
                </c:pt>
                <c:pt idx="118">
                  <c:v>45459.046587659999</c:v>
                </c:pt>
                <c:pt idx="119">
                  <c:v>46436.983545569994</c:v>
                </c:pt>
              </c:numCache>
            </c:numRef>
          </c:val>
          <c:smooth val="0"/>
          <c:extLst>
            <c:ext xmlns:c16="http://schemas.microsoft.com/office/drawing/2014/chart" uri="{C3380CC4-5D6E-409C-BE32-E72D297353CC}">
              <c16:uniqueId val="{00000000-3B06-48FC-A5CE-1448E123CCAF}"/>
            </c:ext>
          </c:extLst>
        </c:ser>
        <c:dLbls>
          <c:showLegendKey val="0"/>
          <c:showVal val="0"/>
          <c:showCatName val="0"/>
          <c:showSerName val="0"/>
          <c:showPercent val="0"/>
          <c:showBubbleSize val="0"/>
        </c:dLbls>
        <c:smooth val="0"/>
        <c:axId val="859699776"/>
        <c:axId val="859705680"/>
      </c:lineChart>
      <c:dateAx>
        <c:axId val="85969977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9705680"/>
        <c:crosses val="autoZero"/>
        <c:auto val="1"/>
        <c:lblOffset val="100"/>
        <c:baseTimeUnit val="months"/>
      </c:dateAx>
      <c:valAx>
        <c:axId val="85970568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59699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Electricity (kWh) versus CDD</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46225064222916262"/>
                  <c:y val="1.7437138203555758E-3"/>
                </c:manualLayout>
              </c:layout>
              <c:numFmt formatCode="General"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trendlineLbl>
          </c:trendline>
          <c:xVal>
            <c:numRef>
              <c:f>'4_Utility Data'!$N$14:$N$133</c:f>
              <c:numCache>
                <c:formatCode>#,##0_);[Red]\(#,##0\)</c:formatCode>
                <c:ptCount val="120"/>
                <c:pt idx="0">
                  <c:v>0</c:v>
                </c:pt>
                <c:pt idx="1">
                  <c:v>0</c:v>
                </c:pt>
                <c:pt idx="2">
                  <c:v>0</c:v>
                </c:pt>
                <c:pt idx="3">
                  <c:v>13</c:v>
                </c:pt>
                <c:pt idx="4">
                  <c:v>52</c:v>
                </c:pt>
                <c:pt idx="5">
                  <c:v>226</c:v>
                </c:pt>
                <c:pt idx="6">
                  <c:v>319</c:v>
                </c:pt>
                <c:pt idx="7">
                  <c:v>239</c:v>
                </c:pt>
                <c:pt idx="8">
                  <c:v>117</c:v>
                </c:pt>
                <c:pt idx="9">
                  <c:v>17</c:v>
                </c:pt>
                <c:pt idx="10">
                  <c:v>0</c:v>
                </c:pt>
                <c:pt idx="11">
                  <c:v>0</c:v>
                </c:pt>
                <c:pt idx="12">
                  <c:v>0</c:v>
                </c:pt>
                <c:pt idx="13">
                  <c:v>0</c:v>
                </c:pt>
                <c:pt idx="14">
                  <c:v>0</c:v>
                </c:pt>
                <c:pt idx="15">
                  <c:v>4</c:v>
                </c:pt>
                <c:pt idx="16">
                  <c:v>102</c:v>
                </c:pt>
                <c:pt idx="17">
                  <c:v>262</c:v>
                </c:pt>
                <c:pt idx="18">
                  <c:v>286</c:v>
                </c:pt>
                <c:pt idx="19">
                  <c:v>217</c:v>
                </c:pt>
                <c:pt idx="20">
                  <c:v>149</c:v>
                </c:pt>
                <c:pt idx="21">
                  <c:v>16</c:v>
                </c:pt>
                <c:pt idx="22">
                  <c:v>0</c:v>
                </c:pt>
                <c:pt idx="23">
                  <c:v>0</c:v>
                </c:pt>
                <c:pt idx="24">
                  <c:v>0</c:v>
                </c:pt>
                <c:pt idx="25">
                  <c:v>0</c:v>
                </c:pt>
                <c:pt idx="26">
                  <c:v>0</c:v>
                </c:pt>
                <c:pt idx="27">
                  <c:v>22</c:v>
                </c:pt>
                <c:pt idx="28">
                  <c:v>116</c:v>
                </c:pt>
                <c:pt idx="29">
                  <c:v>326</c:v>
                </c:pt>
                <c:pt idx="30">
                  <c:v>378</c:v>
                </c:pt>
                <c:pt idx="31">
                  <c:v>298</c:v>
                </c:pt>
                <c:pt idx="32">
                  <c:v>138</c:v>
                </c:pt>
                <c:pt idx="33">
                  <c:v>6</c:v>
                </c:pt>
                <c:pt idx="34">
                  <c:v>1</c:v>
                </c:pt>
                <c:pt idx="35">
                  <c:v>5</c:v>
                </c:pt>
                <c:pt idx="36">
                  <c:v>0</c:v>
                </c:pt>
                <c:pt idx="37">
                  <c:v>0</c:v>
                </c:pt>
                <c:pt idx="38">
                  <c:v>2</c:v>
                </c:pt>
                <c:pt idx="39">
                  <c:v>28</c:v>
                </c:pt>
                <c:pt idx="40">
                  <c:v>61</c:v>
                </c:pt>
                <c:pt idx="41">
                  <c:v>270</c:v>
                </c:pt>
                <c:pt idx="42">
                  <c:v>429</c:v>
                </c:pt>
                <c:pt idx="43">
                  <c:v>390</c:v>
                </c:pt>
                <c:pt idx="44">
                  <c:v>243</c:v>
                </c:pt>
                <c:pt idx="45">
                  <c:v>15</c:v>
                </c:pt>
                <c:pt idx="46">
                  <c:v>0</c:v>
                </c:pt>
                <c:pt idx="47">
                  <c:v>0</c:v>
                </c:pt>
                <c:pt idx="48">
                  <c:v>0</c:v>
                </c:pt>
                <c:pt idx="49">
                  <c:v>0</c:v>
                </c:pt>
                <c:pt idx="50">
                  <c:v>2</c:v>
                </c:pt>
                <c:pt idx="51">
                  <c:v>50</c:v>
                </c:pt>
                <c:pt idx="52">
                  <c:v>95</c:v>
                </c:pt>
                <c:pt idx="53">
                  <c:v>237</c:v>
                </c:pt>
                <c:pt idx="54">
                  <c:v>389</c:v>
                </c:pt>
                <c:pt idx="55">
                  <c:v>260</c:v>
                </c:pt>
                <c:pt idx="56">
                  <c:v>121</c:v>
                </c:pt>
                <c:pt idx="57">
                  <c:v>50</c:v>
                </c:pt>
                <c:pt idx="58">
                  <c:v>0</c:v>
                </c:pt>
                <c:pt idx="59">
                  <c:v>0</c:v>
                </c:pt>
                <c:pt idx="60">
                  <c:v>0</c:v>
                </c:pt>
                <c:pt idx="61">
                  <c:v>1</c:v>
                </c:pt>
                <c:pt idx="62">
                  <c:v>1</c:v>
                </c:pt>
                <c:pt idx="63">
                  <c:v>7</c:v>
                </c:pt>
                <c:pt idx="64">
                  <c:v>201</c:v>
                </c:pt>
                <c:pt idx="65">
                  <c:v>324</c:v>
                </c:pt>
                <c:pt idx="66">
                  <c:v>370</c:v>
                </c:pt>
                <c:pt idx="67">
                  <c:v>338</c:v>
                </c:pt>
                <c:pt idx="68">
                  <c:v>291</c:v>
                </c:pt>
                <c:pt idx="69">
                  <c:v>90</c:v>
                </c:pt>
                <c:pt idx="70">
                  <c:v>0</c:v>
                </c:pt>
                <c:pt idx="71">
                  <c:v>0</c:v>
                </c:pt>
                <c:pt idx="72">
                  <c:v>0</c:v>
                </c:pt>
                <c:pt idx="73">
                  <c:v>4</c:v>
                </c:pt>
                <c:pt idx="74">
                  <c:v>0</c:v>
                </c:pt>
                <c:pt idx="75">
                  <c:v>24</c:v>
                </c:pt>
                <c:pt idx="76">
                  <c:v>192</c:v>
                </c:pt>
                <c:pt idx="77">
                  <c:v>226</c:v>
                </c:pt>
                <c:pt idx="78">
                  <c:v>405</c:v>
                </c:pt>
                <c:pt idx="79">
                  <c:v>325</c:v>
                </c:pt>
                <c:pt idx="80">
                  <c:v>285</c:v>
                </c:pt>
                <c:pt idx="81">
                  <c:v>75</c:v>
                </c:pt>
                <c:pt idx="82">
                  <c:v>0</c:v>
                </c:pt>
                <c:pt idx="83">
                  <c:v>0</c:v>
                </c:pt>
                <c:pt idx="84">
                  <c:v>0</c:v>
                </c:pt>
                <c:pt idx="85">
                  <c:v>0</c:v>
                </c:pt>
                <c:pt idx="86">
                  <c:v>20</c:v>
                </c:pt>
                <c:pt idx="87">
                  <c:v>5</c:v>
                </c:pt>
                <c:pt idx="88">
                  <c:v>71</c:v>
                </c:pt>
                <c:pt idx="89">
                  <c:v>248</c:v>
                </c:pt>
                <c:pt idx="90">
                  <c:v>430</c:v>
                </c:pt>
                <c:pt idx="91">
                  <c:v>359</c:v>
                </c:pt>
                <c:pt idx="92">
                  <c:v>138</c:v>
                </c:pt>
                <c:pt idx="93">
                  <c:v>20</c:v>
                </c:pt>
                <c:pt idx="94">
                  <c:v>6</c:v>
                </c:pt>
                <c:pt idx="95">
                  <c:v>0</c:v>
                </c:pt>
                <c:pt idx="96">
                  <c:v>0</c:v>
                </c:pt>
                <c:pt idx="97">
                  <c:v>0</c:v>
                </c:pt>
                <c:pt idx="98">
                  <c:v>0</c:v>
                </c:pt>
                <c:pt idx="99">
                  <c:v>15</c:v>
                </c:pt>
                <c:pt idx="100">
                  <c:v>86</c:v>
                </c:pt>
                <c:pt idx="101">
                  <c:v>254</c:v>
                </c:pt>
                <c:pt idx="102">
                  <c:v>375</c:v>
                </c:pt>
                <c:pt idx="103">
                  <c:v>370</c:v>
                </c:pt>
                <c:pt idx="104">
                  <c:v>148</c:v>
                </c:pt>
                <c:pt idx="105">
                  <c:v>57</c:v>
                </c:pt>
                <c:pt idx="106">
                  <c:v>0</c:v>
                </c:pt>
                <c:pt idx="107">
                  <c:v>1</c:v>
                </c:pt>
                <c:pt idx="108">
                  <c:v>4</c:v>
                </c:pt>
                <c:pt idx="109">
                  <c:v>0</c:v>
                </c:pt>
                <c:pt idx="110">
                  <c:v>0</c:v>
                </c:pt>
                <c:pt idx="111">
                  <c:v>0</c:v>
                </c:pt>
                <c:pt idx="112">
                  <c:v>144</c:v>
                </c:pt>
                <c:pt idx="113">
                  <c:v>336</c:v>
                </c:pt>
                <c:pt idx="114">
                  <c:v>449</c:v>
                </c:pt>
                <c:pt idx="115">
                  <c:v>358</c:v>
                </c:pt>
                <c:pt idx="116">
                  <c:v>164</c:v>
                </c:pt>
                <c:pt idx="117">
                  <c:v>25</c:v>
                </c:pt>
                <c:pt idx="118">
                  <c:v>1</c:v>
                </c:pt>
                <c:pt idx="119">
                  <c:v>0</c:v>
                </c:pt>
              </c:numCache>
            </c:numRef>
          </c:xVal>
          <c:yVal>
            <c:numRef>
              <c:f>'4_Utility Data'!$F$14:$F$133</c:f>
              <c:numCache>
                <c:formatCode>#,##0_);[Red]\(#,##0\)</c:formatCode>
                <c:ptCount val="120"/>
                <c:pt idx="0">
                  <c:v>4164952</c:v>
                </c:pt>
                <c:pt idx="1">
                  <c:v>3504019</c:v>
                </c:pt>
                <c:pt idx="2">
                  <c:v>4297455</c:v>
                </c:pt>
                <c:pt idx="3">
                  <c:v>4530771</c:v>
                </c:pt>
                <c:pt idx="4">
                  <c:v>5562059</c:v>
                </c:pt>
                <c:pt idx="5">
                  <c:v>5781759</c:v>
                </c:pt>
                <c:pt idx="6">
                  <c:v>6006005</c:v>
                </c:pt>
                <c:pt idx="7">
                  <c:v>5728576</c:v>
                </c:pt>
                <c:pt idx="8">
                  <c:v>4810119</c:v>
                </c:pt>
                <c:pt idx="9">
                  <c:v>4724452</c:v>
                </c:pt>
                <c:pt idx="10">
                  <c:v>4397447</c:v>
                </c:pt>
                <c:pt idx="11">
                  <c:v>4397447</c:v>
                </c:pt>
                <c:pt idx="12">
                  <c:v>3517235</c:v>
                </c:pt>
                <c:pt idx="13">
                  <c:v>4423642</c:v>
                </c:pt>
                <c:pt idx="14">
                  <c:v>7031119</c:v>
                </c:pt>
                <c:pt idx="15">
                  <c:v>4821998</c:v>
                </c:pt>
                <c:pt idx="16">
                  <c:v>5268644</c:v>
                </c:pt>
                <c:pt idx="17">
                  <c:v>5906435</c:v>
                </c:pt>
                <c:pt idx="18">
                  <c:v>6056663</c:v>
                </c:pt>
                <c:pt idx="19">
                  <c:v>6548698</c:v>
                </c:pt>
                <c:pt idx="20">
                  <c:v>6105600</c:v>
                </c:pt>
                <c:pt idx="21">
                  <c:v>5024764</c:v>
                </c:pt>
                <c:pt idx="22">
                  <c:v>4887568</c:v>
                </c:pt>
                <c:pt idx="23">
                  <c:v>4537911</c:v>
                </c:pt>
                <c:pt idx="24">
                  <c:v>4022006</c:v>
                </c:pt>
                <c:pt idx="25">
                  <c:v>4967702</c:v>
                </c:pt>
                <c:pt idx="26">
                  <c:v>4621016</c:v>
                </c:pt>
                <c:pt idx="27">
                  <c:v>4864901</c:v>
                </c:pt>
                <c:pt idx="28">
                  <c:v>5446778</c:v>
                </c:pt>
                <c:pt idx="29">
                  <c:v>6179017</c:v>
                </c:pt>
                <c:pt idx="30">
                  <c:v>6642565</c:v>
                </c:pt>
                <c:pt idx="31">
                  <c:v>7073003</c:v>
                </c:pt>
                <c:pt idx="32">
                  <c:v>6234949</c:v>
                </c:pt>
                <c:pt idx="33">
                  <c:v>5603891</c:v>
                </c:pt>
                <c:pt idx="34">
                  <c:v>5039779</c:v>
                </c:pt>
                <c:pt idx="35">
                  <c:v>4243891</c:v>
                </c:pt>
                <c:pt idx="36">
                  <c:v>3514215</c:v>
                </c:pt>
                <c:pt idx="37">
                  <c:v>4406172</c:v>
                </c:pt>
                <c:pt idx="38">
                  <c:v>3869150</c:v>
                </c:pt>
                <c:pt idx="39">
                  <c:v>4236179</c:v>
                </c:pt>
                <c:pt idx="40">
                  <c:v>4400509</c:v>
                </c:pt>
                <c:pt idx="41">
                  <c:v>5072456</c:v>
                </c:pt>
                <c:pt idx="42">
                  <c:v>5533482</c:v>
                </c:pt>
                <c:pt idx="43">
                  <c:v>5302696</c:v>
                </c:pt>
                <c:pt idx="44">
                  <c:v>4960000</c:v>
                </c:pt>
                <c:pt idx="45">
                  <c:v>4618775</c:v>
                </c:pt>
                <c:pt idx="46">
                  <c:v>3942547</c:v>
                </c:pt>
                <c:pt idx="47">
                  <c:v>3748018</c:v>
                </c:pt>
                <c:pt idx="48">
                  <c:v>3532063</c:v>
                </c:pt>
                <c:pt idx="49">
                  <c:v>3841201</c:v>
                </c:pt>
                <c:pt idx="50">
                  <c:v>3644224</c:v>
                </c:pt>
                <c:pt idx="51">
                  <c:v>4170606</c:v>
                </c:pt>
                <c:pt idx="52">
                  <c:v>4426660</c:v>
                </c:pt>
                <c:pt idx="53">
                  <c:v>5320647</c:v>
                </c:pt>
                <c:pt idx="54">
                  <c:v>5913117</c:v>
                </c:pt>
                <c:pt idx="55">
                  <c:v>6029935</c:v>
                </c:pt>
                <c:pt idx="56">
                  <c:v>5337856</c:v>
                </c:pt>
                <c:pt idx="57">
                  <c:v>4837630</c:v>
                </c:pt>
                <c:pt idx="58">
                  <c:v>3941820</c:v>
                </c:pt>
                <c:pt idx="59">
                  <c:v>3524584.83</c:v>
                </c:pt>
                <c:pt idx="60">
                  <c:v>3439105.67</c:v>
                </c:pt>
                <c:pt idx="61">
                  <c:v>3453525.9</c:v>
                </c:pt>
                <c:pt idx="62">
                  <c:v>3912945.94</c:v>
                </c:pt>
                <c:pt idx="63">
                  <c:v>4304298.05</c:v>
                </c:pt>
                <c:pt idx="64">
                  <c:v>5625730.2999999998</c:v>
                </c:pt>
                <c:pt idx="65">
                  <c:v>6320328.6900000004</c:v>
                </c:pt>
                <c:pt idx="66">
                  <c:v>6811817.9900000002</c:v>
                </c:pt>
                <c:pt idx="67">
                  <c:v>6822148.75</c:v>
                </c:pt>
                <c:pt idx="68">
                  <c:v>6471340.71</c:v>
                </c:pt>
                <c:pt idx="69">
                  <c:v>5897388.4100000001</c:v>
                </c:pt>
                <c:pt idx="70">
                  <c:v>4659986.07</c:v>
                </c:pt>
                <c:pt idx="71">
                  <c:v>4270928.59</c:v>
                </c:pt>
                <c:pt idx="72">
                  <c:v>4259273.03</c:v>
                </c:pt>
                <c:pt idx="73">
                  <c:v>4544952.29</c:v>
                </c:pt>
                <c:pt idx="74">
                  <c:v>5137117.66</c:v>
                </c:pt>
                <c:pt idx="75">
                  <c:v>5327516.18</c:v>
                </c:pt>
                <c:pt idx="76">
                  <c:v>6146168.6500000004</c:v>
                </c:pt>
                <c:pt idx="77">
                  <c:v>6367530.1399999997</c:v>
                </c:pt>
                <c:pt idx="78">
                  <c:v>6937601.0700000003</c:v>
                </c:pt>
                <c:pt idx="79">
                  <c:v>6938641.0499999998</c:v>
                </c:pt>
                <c:pt idx="80">
                  <c:v>6206459.54</c:v>
                </c:pt>
                <c:pt idx="81">
                  <c:v>5299505.1399999997</c:v>
                </c:pt>
                <c:pt idx="82">
                  <c:v>3974166.29</c:v>
                </c:pt>
                <c:pt idx="83">
                  <c:v>3640532.63</c:v>
                </c:pt>
                <c:pt idx="84">
                  <c:v>3546853.24</c:v>
                </c:pt>
                <c:pt idx="85">
                  <c:v>3851758.86</c:v>
                </c:pt>
                <c:pt idx="86">
                  <c:v>3738484.75</c:v>
                </c:pt>
                <c:pt idx="87">
                  <c:v>2781418</c:v>
                </c:pt>
                <c:pt idx="88">
                  <c:v>3630649.4</c:v>
                </c:pt>
                <c:pt idx="89">
                  <c:v>4903768.43</c:v>
                </c:pt>
                <c:pt idx="90">
                  <c:v>5572275.9400000004</c:v>
                </c:pt>
                <c:pt idx="91">
                  <c:v>5615811.2999999998</c:v>
                </c:pt>
                <c:pt idx="92">
                  <c:v>4828128.04</c:v>
                </c:pt>
                <c:pt idx="93">
                  <c:v>4627658.8899999997</c:v>
                </c:pt>
                <c:pt idx="94">
                  <c:v>4092344.03</c:v>
                </c:pt>
                <c:pt idx="95">
                  <c:v>2504360</c:v>
                </c:pt>
                <c:pt idx="96">
                  <c:v>3611280.71</c:v>
                </c:pt>
                <c:pt idx="97">
                  <c:v>3566421.42</c:v>
                </c:pt>
                <c:pt idx="98">
                  <c:v>4150632.61</c:v>
                </c:pt>
                <c:pt idx="99">
                  <c:v>4063020.91</c:v>
                </c:pt>
                <c:pt idx="100">
                  <c:v>4688616.53</c:v>
                </c:pt>
                <c:pt idx="101">
                  <c:v>5028490.5199999996</c:v>
                </c:pt>
                <c:pt idx="102">
                  <c:v>5561279.1900000004</c:v>
                </c:pt>
                <c:pt idx="103">
                  <c:v>5612547</c:v>
                </c:pt>
                <c:pt idx="104">
                  <c:v>4932260.26</c:v>
                </c:pt>
                <c:pt idx="105">
                  <c:v>4636218.78</c:v>
                </c:pt>
                <c:pt idx="106">
                  <c:v>4192553.82</c:v>
                </c:pt>
                <c:pt idx="107">
                  <c:v>3959841.47</c:v>
                </c:pt>
                <c:pt idx="108">
                  <c:v>2176625.88</c:v>
                </c:pt>
                <c:pt idx="109">
                  <c:v>3991824</c:v>
                </c:pt>
                <c:pt idx="110">
                  <c:v>3758008</c:v>
                </c:pt>
                <c:pt idx="111">
                  <c:v>4207109</c:v>
                </c:pt>
                <c:pt idx="112">
                  <c:v>4607630</c:v>
                </c:pt>
                <c:pt idx="113">
                  <c:v>5386322</c:v>
                </c:pt>
                <c:pt idx="114">
                  <c:v>6048984</c:v>
                </c:pt>
                <c:pt idx="115">
                  <c:v>6349929</c:v>
                </c:pt>
                <c:pt idx="116">
                  <c:v>5734642</c:v>
                </c:pt>
                <c:pt idx="117">
                  <c:v>3282269</c:v>
                </c:pt>
                <c:pt idx="118">
                  <c:v>4423942</c:v>
                </c:pt>
                <c:pt idx="119">
                  <c:v>2719362</c:v>
                </c:pt>
              </c:numCache>
            </c:numRef>
          </c:yVal>
          <c:smooth val="0"/>
          <c:extLst>
            <c:ext xmlns:c16="http://schemas.microsoft.com/office/drawing/2014/chart" uri="{C3380CC4-5D6E-409C-BE32-E72D297353CC}">
              <c16:uniqueId val="{00000000-C81C-4A2B-A335-3BB7EF73583A}"/>
            </c:ext>
          </c:extLst>
        </c:ser>
        <c:dLbls>
          <c:showLegendKey val="0"/>
          <c:showVal val="0"/>
          <c:showCatName val="0"/>
          <c:showSerName val="0"/>
          <c:showPercent val="0"/>
          <c:showBubbleSize val="0"/>
        </c:dLbls>
        <c:axId val="928253648"/>
        <c:axId val="928250040"/>
      </c:scatterChart>
      <c:valAx>
        <c:axId val="928253648"/>
        <c:scaling>
          <c:orientation val="minMax"/>
        </c:scaling>
        <c:delete val="0"/>
        <c:axPos val="b"/>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28250040"/>
        <c:crosses val="autoZero"/>
        <c:crossBetween val="midCat"/>
      </c:valAx>
      <c:valAx>
        <c:axId val="928250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9282536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Total MMBTU versus Truck Production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alpha val="74000"/>
                  </a:schemeClr>
                </a:solidFill>
                <a:prstDash val="sysDot"/>
              </a:ln>
              <a:effectLst/>
            </c:spPr>
            <c:trendlineType val="linear"/>
            <c:dispRSqr val="1"/>
            <c:dispEq val="1"/>
            <c:trendlineLbl>
              <c:layout>
                <c:manualLayout>
                  <c:x val="-0.50138278968631633"/>
                  <c:y val="-0.27610475035651866"/>
                </c:manualLayout>
              </c:layout>
              <c:numFmt formatCode="General" sourceLinked="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rendlineLbl>
          </c:trendline>
          <c:xVal>
            <c:numRef>
              <c:f>'4_Utility Data'!$J$14:$J$133</c:f>
              <c:numCache>
                <c:formatCode>#,##0_);[Red]\(#,##0\)</c:formatCode>
                <c:ptCount val="120"/>
                <c:pt idx="0">
                  <c:v>1777</c:v>
                </c:pt>
                <c:pt idx="1">
                  <c:v>1984.4</c:v>
                </c:pt>
                <c:pt idx="2">
                  <c:v>1895.3</c:v>
                </c:pt>
                <c:pt idx="3">
                  <c:v>1899.2</c:v>
                </c:pt>
                <c:pt idx="4">
                  <c:v>1704.7</c:v>
                </c:pt>
                <c:pt idx="5">
                  <c:v>1868.1</c:v>
                </c:pt>
                <c:pt idx="6">
                  <c:v>1866.1</c:v>
                </c:pt>
                <c:pt idx="7">
                  <c:v>1751.1</c:v>
                </c:pt>
                <c:pt idx="8">
                  <c:v>2020.3</c:v>
                </c:pt>
                <c:pt idx="9">
                  <c:v>1532.7</c:v>
                </c:pt>
                <c:pt idx="10">
                  <c:v>1375.3</c:v>
                </c:pt>
                <c:pt idx="11">
                  <c:v>1375.3</c:v>
                </c:pt>
                <c:pt idx="12">
                  <c:v>1914</c:v>
                </c:pt>
                <c:pt idx="13">
                  <c:v>1722</c:v>
                </c:pt>
                <c:pt idx="14">
                  <c:v>2114</c:v>
                </c:pt>
                <c:pt idx="15">
                  <c:v>2086</c:v>
                </c:pt>
                <c:pt idx="16">
                  <c:v>2186</c:v>
                </c:pt>
                <c:pt idx="17">
                  <c:v>2193</c:v>
                </c:pt>
                <c:pt idx="18">
                  <c:v>2621</c:v>
                </c:pt>
                <c:pt idx="19">
                  <c:v>2479</c:v>
                </c:pt>
                <c:pt idx="20">
                  <c:v>2454</c:v>
                </c:pt>
                <c:pt idx="21">
                  <c:v>2700</c:v>
                </c:pt>
                <c:pt idx="22">
                  <c:v>2048</c:v>
                </c:pt>
                <c:pt idx="23">
                  <c:v>2048</c:v>
                </c:pt>
                <c:pt idx="24">
                  <c:v>2644</c:v>
                </c:pt>
                <c:pt idx="25">
                  <c:v>2790</c:v>
                </c:pt>
                <c:pt idx="26">
                  <c:v>2707</c:v>
                </c:pt>
                <c:pt idx="27">
                  <c:v>3019</c:v>
                </c:pt>
                <c:pt idx="28">
                  <c:v>2946</c:v>
                </c:pt>
                <c:pt idx="29">
                  <c:v>3173</c:v>
                </c:pt>
                <c:pt idx="30">
                  <c:v>2988</c:v>
                </c:pt>
                <c:pt idx="31">
                  <c:v>2918</c:v>
                </c:pt>
                <c:pt idx="32">
                  <c:v>3001</c:v>
                </c:pt>
                <c:pt idx="33">
                  <c:v>3153</c:v>
                </c:pt>
                <c:pt idx="34">
                  <c:v>1794</c:v>
                </c:pt>
                <c:pt idx="35">
                  <c:v>2027</c:v>
                </c:pt>
                <c:pt idx="36">
                  <c:v>1794</c:v>
                </c:pt>
                <c:pt idx="37">
                  <c:v>1743</c:v>
                </c:pt>
                <c:pt idx="38">
                  <c:v>1644</c:v>
                </c:pt>
                <c:pt idx="39">
                  <c:v>1569</c:v>
                </c:pt>
                <c:pt idx="40">
                  <c:v>1585</c:v>
                </c:pt>
                <c:pt idx="41">
                  <c:v>1651</c:v>
                </c:pt>
                <c:pt idx="42">
                  <c:v>1434</c:v>
                </c:pt>
                <c:pt idx="43">
                  <c:v>1730</c:v>
                </c:pt>
                <c:pt idx="44">
                  <c:v>1589</c:v>
                </c:pt>
                <c:pt idx="45">
                  <c:v>1575</c:v>
                </c:pt>
                <c:pt idx="46">
                  <c:v>1405</c:v>
                </c:pt>
                <c:pt idx="47">
                  <c:v>1221</c:v>
                </c:pt>
                <c:pt idx="48">
                  <c:v>1576</c:v>
                </c:pt>
                <c:pt idx="49">
                  <c:v>1504</c:v>
                </c:pt>
                <c:pt idx="50">
                  <c:v>1744</c:v>
                </c:pt>
                <c:pt idx="51">
                  <c:v>1482</c:v>
                </c:pt>
                <c:pt idx="52">
                  <c:v>1827</c:v>
                </c:pt>
                <c:pt idx="53">
                  <c:v>1878</c:v>
                </c:pt>
                <c:pt idx="54">
                  <c:v>1620</c:v>
                </c:pt>
                <c:pt idx="55">
                  <c:v>1888</c:v>
                </c:pt>
                <c:pt idx="56">
                  <c:v>1607</c:v>
                </c:pt>
                <c:pt idx="57">
                  <c:v>1743</c:v>
                </c:pt>
                <c:pt idx="58">
                  <c:v>1503</c:v>
                </c:pt>
                <c:pt idx="59">
                  <c:v>1189</c:v>
                </c:pt>
                <c:pt idx="60">
                  <c:v>1681</c:v>
                </c:pt>
                <c:pt idx="61">
                  <c:v>1698</c:v>
                </c:pt>
                <c:pt idx="62">
                  <c:v>1728</c:v>
                </c:pt>
                <c:pt idx="63">
                  <c:v>1812</c:v>
                </c:pt>
                <c:pt idx="64">
                  <c:v>2394</c:v>
                </c:pt>
                <c:pt idx="65">
                  <c:v>1800</c:v>
                </c:pt>
                <c:pt idx="66">
                  <c:v>1606</c:v>
                </c:pt>
                <c:pt idx="67">
                  <c:v>2148</c:v>
                </c:pt>
                <c:pt idx="68">
                  <c:v>1807</c:v>
                </c:pt>
                <c:pt idx="69">
                  <c:v>2767</c:v>
                </c:pt>
                <c:pt idx="70">
                  <c:v>2381</c:v>
                </c:pt>
                <c:pt idx="71">
                  <c:v>1590</c:v>
                </c:pt>
                <c:pt idx="72">
                  <c:v>2267</c:v>
                </c:pt>
                <c:pt idx="73">
                  <c:v>2374</c:v>
                </c:pt>
                <c:pt idx="74">
                  <c:v>2588</c:v>
                </c:pt>
                <c:pt idx="75">
                  <c:v>2436</c:v>
                </c:pt>
                <c:pt idx="76">
                  <c:v>2560</c:v>
                </c:pt>
                <c:pt idx="77">
                  <c:v>2044</c:v>
                </c:pt>
                <c:pt idx="78">
                  <c:v>2175</c:v>
                </c:pt>
                <c:pt idx="79">
                  <c:v>2253</c:v>
                </c:pt>
                <c:pt idx="80">
                  <c:v>2062</c:v>
                </c:pt>
                <c:pt idx="81">
                  <c:v>1794</c:v>
                </c:pt>
                <c:pt idx="82">
                  <c:v>1404</c:v>
                </c:pt>
                <c:pt idx="83">
                  <c:v>1248</c:v>
                </c:pt>
                <c:pt idx="84">
                  <c:v>1716</c:v>
                </c:pt>
                <c:pt idx="85">
                  <c:v>1557</c:v>
                </c:pt>
                <c:pt idx="86">
                  <c:v>1514</c:v>
                </c:pt>
                <c:pt idx="87">
                  <c:v>424</c:v>
                </c:pt>
                <c:pt idx="88">
                  <c:v>349</c:v>
                </c:pt>
                <c:pt idx="89">
                  <c:v>1578</c:v>
                </c:pt>
                <c:pt idx="90">
                  <c:v>1392</c:v>
                </c:pt>
                <c:pt idx="91">
                  <c:v>1558</c:v>
                </c:pt>
                <c:pt idx="92">
                  <c:v>1638</c:v>
                </c:pt>
                <c:pt idx="93">
                  <c:v>1700</c:v>
                </c:pt>
                <c:pt idx="94">
                  <c:v>1408</c:v>
                </c:pt>
                <c:pt idx="95">
                  <c:v>1327</c:v>
                </c:pt>
                <c:pt idx="96">
                  <c:v>1431</c:v>
                </c:pt>
                <c:pt idx="97">
                  <c:v>1426</c:v>
                </c:pt>
                <c:pt idx="98">
                  <c:v>1897</c:v>
                </c:pt>
                <c:pt idx="99">
                  <c:v>1291</c:v>
                </c:pt>
                <c:pt idx="100">
                  <c:v>1577</c:v>
                </c:pt>
                <c:pt idx="101">
                  <c:v>1755</c:v>
                </c:pt>
                <c:pt idx="102">
                  <c:v>1287</c:v>
                </c:pt>
                <c:pt idx="103">
                  <c:v>1207</c:v>
                </c:pt>
                <c:pt idx="104">
                  <c:v>769</c:v>
                </c:pt>
                <c:pt idx="105">
                  <c:v>783</c:v>
                </c:pt>
                <c:pt idx="106">
                  <c:v>1387</c:v>
                </c:pt>
                <c:pt idx="107">
                  <c:v>1170</c:v>
                </c:pt>
                <c:pt idx="108">
                  <c:v>1097</c:v>
                </c:pt>
                <c:pt idx="109">
                  <c:v>1058</c:v>
                </c:pt>
                <c:pt idx="110">
                  <c:v>1599</c:v>
                </c:pt>
                <c:pt idx="111">
                  <c:v>1568</c:v>
                </c:pt>
                <c:pt idx="112">
                  <c:v>1620</c:v>
                </c:pt>
                <c:pt idx="113">
                  <c:v>1644</c:v>
                </c:pt>
                <c:pt idx="114">
                  <c:v>1396</c:v>
                </c:pt>
                <c:pt idx="115">
                  <c:v>1561</c:v>
                </c:pt>
                <c:pt idx="116">
                  <c:v>1510</c:v>
                </c:pt>
                <c:pt idx="117">
                  <c:v>1376</c:v>
                </c:pt>
                <c:pt idx="118">
                  <c:v>1457</c:v>
                </c:pt>
                <c:pt idx="119">
                  <c:v>877</c:v>
                </c:pt>
              </c:numCache>
            </c:numRef>
          </c:xVal>
          <c:yVal>
            <c:numRef>
              <c:f>'4_Utility Data'!$P$14:$P$133</c:f>
              <c:numCache>
                <c:formatCode>#,##0_);[Red]\(#,##0\)</c:formatCode>
                <c:ptCount val="120"/>
                <c:pt idx="0">
                  <c:v>42700.222639401203</c:v>
                </c:pt>
                <c:pt idx="1">
                  <c:v>44378.414050761799</c:v>
                </c:pt>
                <c:pt idx="2">
                  <c:v>32108.250419358599</c:v>
                </c:pt>
                <c:pt idx="3">
                  <c:v>29777.048731465202</c:v>
                </c:pt>
                <c:pt idx="4">
                  <c:v>29860.610382974199</c:v>
                </c:pt>
                <c:pt idx="5">
                  <c:v>30216.219045215403</c:v>
                </c:pt>
                <c:pt idx="6">
                  <c:v>31635.442868558199</c:v>
                </c:pt>
                <c:pt idx="7">
                  <c:v>32055.9508128536</c:v>
                </c:pt>
                <c:pt idx="8">
                  <c:v>37388.881719772806</c:v>
                </c:pt>
                <c:pt idx="9">
                  <c:v>45914.445048762202</c:v>
                </c:pt>
                <c:pt idx="10">
                  <c:v>43852.564070143002</c:v>
                </c:pt>
                <c:pt idx="11">
                  <c:v>70990.245556269991</c:v>
                </c:pt>
                <c:pt idx="12">
                  <c:v>54322.484653273998</c:v>
                </c:pt>
                <c:pt idx="13">
                  <c:v>51938.734954937994</c:v>
                </c:pt>
                <c:pt idx="14">
                  <c:v>49572.701097865996</c:v>
                </c:pt>
                <c:pt idx="15">
                  <c:v>32470.311783336001</c:v>
                </c:pt>
                <c:pt idx="16">
                  <c:v>30217.281245019996</c:v>
                </c:pt>
                <c:pt idx="17">
                  <c:v>32263.658815248</c:v>
                </c:pt>
                <c:pt idx="18">
                  <c:v>31886.303207183999</c:v>
                </c:pt>
                <c:pt idx="19">
                  <c:v>31691.82134961</c:v>
                </c:pt>
                <c:pt idx="20">
                  <c:v>30183.094994322</c:v>
                </c:pt>
                <c:pt idx="21">
                  <c:v>36930.411307228002</c:v>
                </c:pt>
                <c:pt idx="22">
                  <c:v>48702.239788671999</c:v>
                </c:pt>
                <c:pt idx="23">
                  <c:v>46663.031128786002</c:v>
                </c:pt>
                <c:pt idx="24">
                  <c:v>65717.049654488001</c:v>
                </c:pt>
                <c:pt idx="25">
                  <c:v>69337.803192084</c:v>
                </c:pt>
                <c:pt idx="26">
                  <c:v>48706.576621154003</c:v>
                </c:pt>
                <c:pt idx="27">
                  <c:v>35983.033493069997</c:v>
                </c:pt>
                <c:pt idx="28">
                  <c:v>31325.091151733996</c:v>
                </c:pt>
                <c:pt idx="29">
                  <c:v>30347.437401609997</c:v>
                </c:pt>
                <c:pt idx="30">
                  <c:v>31001.353943057999</c:v>
                </c:pt>
                <c:pt idx="31">
                  <c:v>32007.181749676001</c:v>
                </c:pt>
                <c:pt idx="32">
                  <c:v>34410.346535992001</c:v>
                </c:pt>
                <c:pt idx="33">
                  <c:v>45365.908759628001</c:v>
                </c:pt>
                <c:pt idx="34">
                  <c:v>39801.960825884002</c:v>
                </c:pt>
                <c:pt idx="35">
                  <c:v>38150.020046571997</c:v>
                </c:pt>
                <c:pt idx="36">
                  <c:v>59491.483974801995</c:v>
                </c:pt>
                <c:pt idx="37">
                  <c:v>54113.009843751992</c:v>
                </c:pt>
                <c:pt idx="38">
                  <c:v>34177.003793179996</c:v>
                </c:pt>
                <c:pt idx="39">
                  <c:v>31938.205299146</c:v>
                </c:pt>
                <c:pt idx="40">
                  <c:v>28301.940164018</c:v>
                </c:pt>
                <c:pt idx="41">
                  <c:v>26596.688078097999</c:v>
                </c:pt>
                <c:pt idx="42">
                  <c:v>28173.773286214</c:v>
                </c:pt>
                <c:pt idx="43">
                  <c:v>25320.799468605997</c:v>
                </c:pt>
                <c:pt idx="44">
                  <c:v>22666.832008863999</c:v>
                </c:pt>
                <c:pt idx="45">
                  <c:v>29961.472959279999</c:v>
                </c:pt>
                <c:pt idx="46">
                  <c:v>32960.800371551995</c:v>
                </c:pt>
                <c:pt idx="47">
                  <c:v>44162.163068442002</c:v>
                </c:pt>
                <c:pt idx="48">
                  <c:v>44053.141719399995</c:v>
                </c:pt>
                <c:pt idx="49">
                  <c:v>34924.433498279999</c:v>
                </c:pt>
                <c:pt idx="50">
                  <c:v>38633.257833037998</c:v>
                </c:pt>
                <c:pt idx="51">
                  <c:v>27363.515810468001</c:v>
                </c:pt>
                <c:pt idx="52">
                  <c:v>27966.274106910001</c:v>
                </c:pt>
                <c:pt idx="53">
                  <c:v>27282.590038654002</c:v>
                </c:pt>
                <c:pt idx="54">
                  <c:v>27158.701986918</c:v>
                </c:pt>
                <c:pt idx="55">
                  <c:v>29183.907216036001</c:v>
                </c:pt>
                <c:pt idx="56">
                  <c:v>28893.933152449998</c:v>
                </c:pt>
                <c:pt idx="57">
                  <c:v>32082.904004939999</c:v>
                </c:pt>
                <c:pt idx="58">
                  <c:v>35725.648797725997</c:v>
                </c:pt>
                <c:pt idx="59">
                  <c:v>37376.237788741862</c:v>
                </c:pt>
                <c:pt idx="60">
                  <c:v>53249.651488195137</c:v>
                </c:pt>
                <c:pt idx="61">
                  <c:v>32882.805288501797</c:v>
                </c:pt>
                <c:pt idx="62">
                  <c:v>40355.979881269479</c:v>
                </c:pt>
                <c:pt idx="63">
                  <c:v>31489.802240965098</c:v>
                </c:pt>
                <c:pt idx="64">
                  <c:v>30817.972807052596</c:v>
                </c:pt>
                <c:pt idx="65">
                  <c:v>30865.604227965978</c:v>
                </c:pt>
                <c:pt idx="66">
                  <c:v>31020.004677108576</c:v>
                </c:pt>
                <c:pt idx="67">
                  <c:v>33520.656953592501</c:v>
                </c:pt>
                <c:pt idx="68">
                  <c:v>32137.695191654813</c:v>
                </c:pt>
                <c:pt idx="69">
                  <c:v>43011.17731583822</c:v>
                </c:pt>
                <c:pt idx="70">
                  <c:v>51336.942533531932</c:v>
                </c:pt>
                <c:pt idx="71">
                  <c:v>49028.660954123778</c:v>
                </c:pt>
                <c:pt idx="72">
                  <c:v>60429.116813772263</c:v>
                </c:pt>
                <c:pt idx="73">
                  <c:v>48570.006627125178</c:v>
                </c:pt>
                <c:pt idx="74">
                  <c:v>53835.772146123716</c:v>
                </c:pt>
                <c:pt idx="75">
                  <c:v>38815.238216509562</c:v>
                </c:pt>
                <c:pt idx="76">
                  <c:v>34463.329082718301</c:v>
                </c:pt>
                <c:pt idx="77">
                  <c:v>32265.361951805877</c:v>
                </c:pt>
                <c:pt idx="78">
                  <c:v>31904.084117995943</c:v>
                </c:pt>
                <c:pt idx="79">
                  <c:v>33095.344713361097</c:v>
                </c:pt>
                <c:pt idx="80">
                  <c:v>29258.36199703268</c:v>
                </c:pt>
                <c:pt idx="81">
                  <c:v>33700.877388341876</c:v>
                </c:pt>
                <c:pt idx="82">
                  <c:v>39668.089836177183</c:v>
                </c:pt>
                <c:pt idx="83">
                  <c:v>39411.470620769454</c:v>
                </c:pt>
                <c:pt idx="84">
                  <c:v>46689.981045216075</c:v>
                </c:pt>
                <c:pt idx="85">
                  <c:v>42069.734752082113</c:v>
                </c:pt>
                <c:pt idx="86">
                  <c:v>33134.300114932499</c:v>
                </c:pt>
                <c:pt idx="87">
                  <c:v>19963.054100205998</c:v>
                </c:pt>
                <c:pt idx="88">
                  <c:v>16779.2267105668</c:v>
                </c:pt>
                <c:pt idx="89">
                  <c:v>26311.031841363059</c:v>
                </c:pt>
                <c:pt idx="90">
                  <c:v>24890.971736137482</c:v>
                </c:pt>
                <c:pt idx="91">
                  <c:v>25611.381917110601</c:v>
                </c:pt>
                <c:pt idx="92">
                  <c:v>27575.566923685677</c:v>
                </c:pt>
                <c:pt idx="93">
                  <c:v>32034.290842530379</c:v>
                </c:pt>
                <c:pt idx="94">
                  <c:v>33586.701282259062</c:v>
                </c:pt>
                <c:pt idx="95">
                  <c:v>41808.235491185995</c:v>
                </c:pt>
                <c:pt idx="96">
                  <c:v>49511.202584380822</c:v>
                </c:pt>
                <c:pt idx="97">
                  <c:v>42185.136316881639</c:v>
                </c:pt>
                <c:pt idx="98">
                  <c:v>39964.547855150617</c:v>
                </c:pt>
                <c:pt idx="99">
                  <c:v>27956.604293889221</c:v>
                </c:pt>
                <c:pt idx="100">
                  <c:v>27592.225383907258</c:v>
                </c:pt>
                <c:pt idx="101">
                  <c:v>24362.92369989384</c:v>
                </c:pt>
                <c:pt idx="102">
                  <c:v>24529.87429792498</c:v>
                </c:pt>
                <c:pt idx="103">
                  <c:v>25384.807345673998</c:v>
                </c:pt>
                <c:pt idx="104">
                  <c:v>24684.572388076918</c:v>
                </c:pt>
                <c:pt idx="105">
                  <c:v>30747.436820426759</c:v>
                </c:pt>
                <c:pt idx="106">
                  <c:v>48961.588976482439</c:v>
                </c:pt>
                <c:pt idx="107">
                  <c:v>42079.54139312874</c:v>
                </c:pt>
                <c:pt idx="108">
                  <c:v>63458.956583434963</c:v>
                </c:pt>
                <c:pt idx="109">
                  <c:v>45738.555611731994</c:v>
                </c:pt>
                <c:pt idx="110">
                  <c:v>39600.760460712001</c:v>
                </c:pt>
                <c:pt idx="111">
                  <c:v>32925.187845498003</c:v>
                </c:pt>
                <c:pt idx="112">
                  <c:v>29671.840109894001</c:v>
                </c:pt>
                <c:pt idx="113">
                  <c:v>27544.864333484002</c:v>
                </c:pt>
                <c:pt idx="114">
                  <c:v>27445.966809755999</c:v>
                </c:pt>
                <c:pt idx="115">
                  <c:v>29351.832372424</c:v>
                </c:pt>
                <c:pt idx="116">
                  <c:v>33261.362311763995</c:v>
                </c:pt>
                <c:pt idx="117">
                  <c:v>38618.469609610001</c:v>
                </c:pt>
                <c:pt idx="118">
                  <c:v>45459.046587659999</c:v>
                </c:pt>
                <c:pt idx="119">
                  <c:v>46436.983545569994</c:v>
                </c:pt>
              </c:numCache>
            </c:numRef>
          </c:yVal>
          <c:smooth val="0"/>
          <c:extLst>
            <c:ext xmlns:c16="http://schemas.microsoft.com/office/drawing/2014/chart" uri="{C3380CC4-5D6E-409C-BE32-E72D297353CC}">
              <c16:uniqueId val="{00000000-4D01-4C83-94EF-73385BECE89B}"/>
            </c:ext>
          </c:extLst>
        </c:ser>
        <c:dLbls>
          <c:showLegendKey val="0"/>
          <c:showVal val="0"/>
          <c:showCatName val="0"/>
          <c:showSerName val="0"/>
          <c:showPercent val="0"/>
          <c:showBubbleSize val="0"/>
        </c:dLbls>
        <c:axId val="802350768"/>
        <c:axId val="802341912"/>
      </c:scatterChart>
      <c:valAx>
        <c:axId val="802350768"/>
        <c:scaling>
          <c:orientation val="minMax"/>
        </c:scaling>
        <c:delete val="0"/>
        <c:axPos val="b"/>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02341912"/>
        <c:crosses val="autoZero"/>
        <c:crossBetween val="midCat"/>
      </c:valAx>
      <c:valAx>
        <c:axId val="8023419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80235076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en-US" sz="1800" b="1">
                <a:solidFill>
                  <a:schemeClr val="tx1"/>
                </a:solidFill>
              </a:rPr>
              <a:t>Energy Types IN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7975767552364306"/>
          <c:y val="0.23270100166050672"/>
          <c:w val="0.44475815250720901"/>
          <c:h val="0.707982484332315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80-4B6B-BE21-4A6171BAB17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80-4B6B-BE21-4A6171BAB17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80-4B6B-BE21-4A6171BAB17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80-4B6B-BE21-4A6171BAB17E}"/>
              </c:ext>
            </c:extLst>
          </c:dPt>
          <c:dLbls>
            <c:dLbl>
              <c:idx val="0"/>
              <c:layout>
                <c:manualLayout>
                  <c:x val="-0.200854582937179"/>
                  <c:y val="6.8027210884353739E-3"/>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5971141064146125"/>
                      <c:h val="0.10156462585034014"/>
                    </c:manualLayout>
                  </c15:layout>
                </c:ext>
                <c:ext xmlns:c16="http://schemas.microsoft.com/office/drawing/2014/chart" uri="{C3380CC4-5D6E-409C-BE32-E72D297353CC}">
                  <c16:uniqueId val="{00000001-E680-4B6B-BE21-4A6171BAB17E}"/>
                </c:ext>
              </c:extLst>
            </c:dLbl>
            <c:dLbl>
              <c:idx val="1"/>
              <c:layout>
                <c:manualLayout>
                  <c:x val="8.9743574644394711E-2"/>
                  <c:y val="-2.721088435374151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80-4B6B-BE21-4A6171BAB17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'6_Two Key Pies'!$M$11:$M$14</c:f>
              <c:strCache>
                <c:ptCount val="4"/>
                <c:pt idx="0">
                  <c:v>Liquid Propane</c:v>
                </c:pt>
                <c:pt idx="1">
                  <c:v>Diesel Fuel</c:v>
                </c:pt>
                <c:pt idx="2">
                  <c:v>Electricity</c:v>
                </c:pt>
                <c:pt idx="3">
                  <c:v>Natural Gas</c:v>
                </c:pt>
              </c:strCache>
            </c:strRef>
          </c:cat>
          <c:val>
            <c:numRef>
              <c:f>'6_Two Key Pies'!$O$11:$O$14</c:f>
              <c:numCache>
                <c:formatCode>0.00%</c:formatCode>
                <c:ptCount val="4"/>
                <c:pt idx="0" formatCode="0.0%">
                  <c:v>1.6619044913322424E-2</c:v>
                </c:pt>
                <c:pt idx="1">
                  <c:v>4.1285566588637252E-4</c:v>
                </c:pt>
                <c:pt idx="2" formatCode="0.0%">
                  <c:v>0.38456374798310683</c:v>
                </c:pt>
                <c:pt idx="3" formatCode="0.0%">
                  <c:v>0.59840435143768445</c:v>
                </c:pt>
              </c:numCache>
            </c:numRef>
          </c:val>
          <c:extLst>
            <c:ext xmlns:c16="http://schemas.microsoft.com/office/drawing/2014/chart" uri="{C3380CC4-5D6E-409C-BE32-E72D297353CC}">
              <c16:uniqueId val="{00000009-2103-4D1B-BD52-9976807A1525}"/>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jpeg"/><Relationship Id="rId5" Type="http://schemas.openxmlformats.org/officeDocument/2006/relationships/image" Target="../media/image8.jpeg"/><Relationship Id="rId10" Type="http://schemas.openxmlformats.org/officeDocument/2006/relationships/image" Target="../media/image13.png"/><Relationship Id="rId4" Type="http://schemas.openxmlformats.org/officeDocument/2006/relationships/image" Target="../media/image7.jpeg"/><Relationship Id="rId9" Type="http://schemas.openxmlformats.org/officeDocument/2006/relationships/image" Target="../media/image12.jp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6</xdr:row>
      <xdr:rowOff>19049</xdr:rowOff>
    </xdr:from>
    <xdr:to>
      <xdr:col>34</xdr:col>
      <xdr:colOff>154041</xdr:colOff>
      <xdr:row>40</xdr:row>
      <xdr:rowOff>18202</xdr:rowOff>
    </xdr:to>
    <xdr:pic>
      <xdr:nvPicPr>
        <xdr:cNvPr id="6" name="Picture 5">
          <a:extLst>
            <a:ext uri="{FF2B5EF4-FFF2-40B4-BE49-F238E27FC236}">
              <a16:creationId xmlns:a16="http://schemas.microsoft.com/office/drawing/2014/main" id="{1D735E6C-07B4-407B-9B8D-8FFB95523E46}"/>
            </a:ext>
          </a:extLst>
        </xdr:cNvPr>
        <xdr:cNvPicPr>
          <a:picLocks noChangeAspect="1"/>
        </xdr:cNvPicPr>
      </xdr:nvPicPr>
      <xdr:blipFill>
        <a:blip xmlns:r="http://schemas.openxmlformats.org/officeDocument/2006/relationships" r:embed="rId1"/>
        <a:stretch>
          <a:fillRect/>
        </a:stretch>
      </xdr:blipFill>
      <xdr:spPr>
        <a:xfrm>
          <a:off x="1543050" y="1819274"/>
          <a:ext cx="7354941" cy="6152303"/>
        </a:xfrm>
        <a:prstGeom prst="rect">
          <a:avLst/>
        </a:prstGeom>
      </xdr:spPr>
    </xdr:pic>
    <xdr:clientData/>
  </xdr:twoCellAnchor>
  <xdr:twoCellAnchor>
    <xdr:from>
      <xdr:col>6</xdr:col>
      <xdr:colOff>133350</xdr:colOff>
      <xdr:row>16</xdr:row>
      <xdr:rowOff>47625</xdr:rowOff>
    </xdr:from>
    <xdr:to>
      <xdr:col>34</xdr:col>
      <xdr:colOff>66675</xdr:colOff>
      <xdr:row>40</xdr:row>
      <xdr:rowOff>95250</xdr:rowOff>
    </xdr:to>
    <xdr:sp macro="" textlink="">
      <xdr:nvSpPr>
        <xdr:cNvPr id="7" name="Frame 6">
          <a:extLst>
            <a:ext uri="{FF2B5EF4-FFF2-40B4-BE49-F238E27FC236}">
              <a16:creationId xmlns:a16="http://schemas.microsoft.com/office/drawing/2014/main" id="{918D86CF-25DF-4057-903A-1D213A165A98}"/>
            </a:ext>
          </a:extLst>
        </xdr:cNvPr>
        <xdr:cNvSpPr/>
      </xdr:nvSpPr>
      <xdr:spPr>
        <a:xfrm>
          <a:off x="1676400" y="3654425"/>
          <a:ext cx="7131050" cy="4394200"/>
        </a:xfrm>
        <a:prstGeom prst="frame">
          <a:avLst>
            <a:gd name="adj1" fmla="val 1586"/>
          </a:avLst>
        </a:prstGeom>
        <a:solidFill>
          <a:srgbClr val="00FF99"/>
        </a:solidFill>
        <a:ln>
          <a:solidFill>
            <a:srgbClr val="00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23</xdr:col>
      <xdr:colOff>238126</xdr:colOff>
      <xdr:row>17</xdr:row>
      <xdr:rowOff>123825</xdr:rowOff>
    </xdr:from>
    <xdr:to>
      <xdr:col>25</xdr:col>
      <xdr:colOff>257175</xdr:colOff>
      <xdr:row>18</xdr:row>
      <xdr:rowOff>47625</xdr:rowOff>
    </xdr:to>
    <xdr:cxnSp macro="">
      <xdr:nvCxnSpPr>
        <xdr:cNvPr id="8" name="Straight Arrow Connector 7">
          <a:extLst>
            <a:ext uri="{FF2B5EF4-FFF2-40B4-BE49-F238E27FC236}">
              <a16:creationId xmlns:a16="http://schemas.microsoft.com/office/drawing/2014/main" id="{5260002B-5891-49BC-9488-60985AE0A989}"/>
            </a:ext>
          </a:extLst>
        </xdr:cNvPr>
        <xdr:cNvCxnSpPr/>
      </xdr:nvCxnSpPr>
      <xdr:spPr>
        <a:xfrm flipH="1">
          <a:off x="5835651" y="3911600"/>
          <a:ext cx="590549" cy="104775"/>
        </a:xfrm>
        <a:prstGeom prst="straightConnector1">
          <a:avLst/>
        </a:prstGeom>
        <a:ln w="57150">
          <a:solidFill>
            <a:srgbClr val="00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38</xdr:col>
      <xdr:colOff>19050</xdr:colOff>
      <xdr:row>7</xdr:row>
      <xdr:rowOff>76200</xdr:rowOff>
    </xdr:from>
    <xdr:to>
      <xdr:col>53</xdr:col>
      <xdr:colOff>182246</xdr:colOff>
      <xdr:row>27</xdr:row>
      <xdr:rowOff>139700</xdr:rowOff>
    </xdr:to>
    <xdr:pic>
      <xdr:nvPicPr>
        <xdr:cNvPr id="9" name="Picture 8">
          <a:extLst>
            <a:ext uri="{FF2B5EF4-FFF2-40B4-BE49-F238E27FC236}">
              <a16:creationId xmlns:a16="http://schemas.microsoft.com/office/drawing/2014/main" id="{B9F4BF31-B223-4A3A-B706-6AEAA7D7B56A}"/>
            </a:ext>
          </a:extLst>
        </xdr:cNvPr>
        <xdr:cNvPicPr>
          <a:picLocks noChangeAspect="1"/>
        </xdr:cNvPicPr>
      </xdr:nvPicPr>
      <xdr:blipFill>
        <a:blip xmlns:r="http://schemas.openxmlformats.org/officeDocument/2006/relationships" r:embed="rId2"/>
        <a:stretch>
          <a:fillRect/>
        </a:stretch>
      </xdr:blipFill>
      <xdr:spPr>
        <a:xfrm>
          <a:off x="9906000" y="2057400"/>
          <a:ext cx="4363721" cy="3683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638175</xdr:colOff>
      <xdr:row>7</xdr:row>
      <xdr:rowOff>0</xdr:rowOff>
    </xdr:from>
    <xdr:to>
      <xdr:col>14</xdr:col>
      <xdr:colOff>9525</xdr:colOff>
      <xdr:row>7</xdr:row>
      <xdr:rowOff>9525</xdr:rowOff>
    </xdr:to>
    <xdr:cxnSp macro="">
      <xdr:nvCxnSpPr>
        <xdr:cNvPr id="2" name="Straight Arrow Connector 1">
          <a:extLst>
            <a:ext uri="{FF2B5EF4-FFF2-40B4-BE49-F238E27FC236}">
              <a16:creationId xmlns:a16="http://schemas.microsoft.com/office/drawing/2014/main" id="{EEBCB9B8-FDEE-4DA6-9423-F93842CE23D1}"/>
            </a:ext>
          </a:extLst>
        </xdr:cNvPr>
        <xdr:cNvCxnSpPr/>
      </xdr:nvCxnSpPr>
      <xdr:spPr>
        <a:xfrm flipV="1">
          <a:off x="3549650" y="1714500"/>
          <a:ext cx="4276725" cy="6350"/>
        </a:xfrm>
        <a:prstGeom prst="straightConnector1">
          <a:avLst/>
        </a:prstGeom>
        <a:ln w="571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638175</xdr:colOff>
      <xdr:row>10</xdr:row>
      <xdr:rowOff>219075</xdr:rowOff>
    </xdr:from>
    <xdr:to>
      <xdr:col>13</xdr:col>
      <xdr:colOff>638175</xdr:colOff>
      <xdr:row>25</xdr:row>
      <xdr:rowOff>219075</xdr:rowOff>
    </xdr:to>
    <xdr:cxnSp macro="">
      <xdr:nvCxnSpPr>
        <xdr:cNvPr id="3" name="Straight Arrow Connector 2">
          <a:extLst>
            <a:ext uri="{FF2B5EF4-FFF2-40B4-BE49-F238E27FC236}">
              <a16:creationId xmlns:a16="http://schemas.microsoft.com/office/drawing/2014/main" id="{8BE8F0F7-D590-422C-A7FC-BE769F27F51D}"/>
            </a:ext>
          </a:extLst>
        </xdr:cNvPr>
        <xdr:cNvCxnSpPr/>
      </xdr:nvCxnSpPr>
      <xdr:spPr>
        <a:xfrm>
          <a:off x="3549650" y="2663825"/>
          <a:ext cx="4267200" cy="3724275"/>
        </a:xfrm>
        <a:prstGeom prst="straightConnector1">
          <a:avLst/>
        </a:prstGeom>
        <a:ln w="5715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219076</xdr:colOff>
      <xdr:row>9</xdr:row>
      <xdr:rowOff>96836</xdr:rowOff>
    </xdr:from>
    <xdr:to>
      <xdr:col>22</xdr:col>
      <xdr:colOff>9526</xdr:colOff>
      <xdr:row>12</xdr:row>
      <xdr:rowOff>230186</xdr:rowOff>
    </xdr:to>
    <xdr:sp macro="" textlink="">
      <xdr:nvSpPr>
        <xdr:cNvPr id="16" name="Flowchart: Magnetic Disk 15">
          <a:extLst>
            <a:ext uri="{FF2B5EF4-FFF2-40B4-BE49-F238E27FC236}">
              <a16:creationId xmlns:a16="http://schemas.microsoft.com/office/drawing/2014/main" id="{13716C2E-3B0E-4538-8C2B-CFD01F313CFD}"/>
            </a:ext>
          </a:extLst>
        </xdr:cNvPr>
        <xdr:cNvSpPr/>
      </xdr:nvSpPr>
      <xdr:spPr>
        <a:xfrm>
          <a:off x="4676776" y="2259011"/>
          <a:ext cx="1028700" cy="847725"/>
        </a:xfrm>
        <a:prstGeom prst="flowChartMagneticDisk">
          <a:avLst/>
        </a:prstGeom>
        <a:solidFill>
          <a:schemeClr val="accent6">
            <a:lumMod val="7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34</xdr:col>
      <xdr:colOff>104775</xdr:colOff>
      <xdr:row>8</xdr:row>
      <xdr:rowOff>85725</xdr:rowOff>
    </xdr:from>
    <xdr:to>
      <xdr:col>45</xdr:col>
      <xdr:colOff>266700</xdr:colOff>
      <xdr:row>15</xdr:row>
      <xdr:rowOff>219075</xdr:rowOff>
    </xdr:to>
    <xdr:sp macro="" textlink="">
      <xdr:nvSpPr>
        <xdr:cNvPr id="17" name="Cube 16">
          <a:extLst>
            <a:ext uri="{FF2B5EF4-FFF2-40B4-BE49-F238E27FC236}">
              <a16:creationId xmlns:a16="http://schemas.microsoft.com/office/drawing/2014/main" id="{2AB198BA-A552-4DA6-A3C0-46C1695AB461}"/>
            </a:ext>
          </a:extLst>
        </xdr:cNvPr>
        <xdr:cNvSpPr/>
      </xdr:nvSpPr>
      <xdr:spPr>
        <a:xfrm>
          <a:off x="8772525" y="2009775"/>
          <a:ext cx="2924175" cy="1800225"/>
        </a:xfrm>
        <a:prstGeom prst="cube">
          <a:avLst/>
        </a:prstGeom>
        <a:solidFill>
          <a:schemeClr val="accent4">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57151</xdr:colOff>
      <xdr:row>10</xdr:row>
      <xdr:rowOff>9525</xdr:rowOff>
    </xdr:from>
    <xdr:to>
      <xdr:col>31</xdr:col>
      <xdr:colOff>38100</xdr:colOff>
      <xdr:row>13</xdr:row>
      <xdr:rowOff>200026</xdr:rowOff>
    </xdr:to>
    <xdr:sp macro="" textlink="">
      <xdr:nvSpPr>
        <xdr:cNvPr id="19" name="Cube 18">
          <a:extLst>
            <a:ext uri="{FF2B5EF4-FFF2-40B4-BE49-F238E27FC236}">
              <a16:creationId xmlns:a16="http://schemas.microsoft.com/office/drawing/2014/main" id="{449729BA-2913-430C-84EC-C2F985223C1B}"/>
            </a:ext>
          </a:extLst>
        </xdr:cNvPr>
        <xdr:cNvSpPr/>
      </xdr:nvSpPr>
      <xdr:spPr>
        <a:xfrm>
          <a:off x="6496051" y="2409825"/>
          <a:ext cx="1466849" cy="904876"/>
        </a:xfrm>
        <a:prstGeom prst="cube">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171448</xdr:colOff>
      <xdr:row>18</xdr:row>
      <xdr:rowOff>219075</xdr:rowOff>
    </xdr:from>
    <xdr:to>
      <xdr:col>34</xdr:col>
      <xdr:colOff>209550</xdr:colOff>
      <xdr:row>21</xdr:row>
      <xdr:rowOff>209548</xdr:rowOff>
    </xdr:to>
    <xdr:sp macro="" textlink="">
      <xdr:nvSpPr>
        <xdr:cNvPr id="20" name="Cube 19">
          <a:extLst>
            <a:ext uri="{FF2B5EF4-FFF2-40B4-BE49-F238E27FC236}">
              <a16:creationId xmlns:a16="http://schemas.microsoft.com/office/drawing/2014/main" id="{B9EE75DD-13D8-4E44-9E01-32F059D367E1}"/>
            </a:ext>
          </a:extLst>
        </xdr:cNvPr>
        <xdr:cNvSpPr/>
      </xdr:nvSpPr>
      <xdr:spPr>
        <a:xfrm>
          <a:off x="8096248" y="4524375"/>
          <a:ext cx="1771652" cy="704848"/>
        </a:xfrm>
        <a:prstGeom prst="cube">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chemeClr val="tx1"/>
            </a:solidFill>
          </a:endParaRPr>
        </a:p>
      </xdr:txBody>
    </xdr:sp>
    <xdr:clientData/>
  </xdr:twoCellAnchor>
  <xdr:twoCellAnchor>
    <xdr:from>
      <xdr:col>24</xdr:col>
      <xdr:colOff>190499</xdr:colOff>
      <xdr:row>12</xdr:row>
      <xdr:rowOff>123825</xdr:rowOff>
    </xdr:from>
    <xdr:to>
      <xdr:col>26</xdr:col>
      <xdr:colOff>209551</xdr:colOff>
      <xdr:row>14</xdr:row>
      <xdr:rowOff>238124</xdr:rowOff>
    </xdr:to>
    <xdr:sp macro="" textlink="">
      <xdr:nvSpPr>
        <xdr:cNvPr id="21" name="Cube 20">
          <a:extLst>
            <a:ext uri="{FF2B5EF4-FFF2-40B4-BE49-F238E27FC236}">
              <a16:creationId xmlns:a16="http://schemas.microsoft.com/office/drawing/2014/main" id="{71C0BDA8-B39D-4648-B59E-11FFAC772433}"/>
            </a:ext>
          </a:extLst>
        </xdr:cNvPr>
        <xdr:cNvSpPr/>
      </xdr:nvSpPr>
      <xdr:spPr>
        <a:xfrm>
          <a:off x="6381749" y="3000375"/>
          <a:ext cx="514352" cy="590549"/>
        </a:xfrm>
        <a:prstGeom prst="cube">
          <a:avLst/>
        </a:prstGeom>
        <a:solidFill>
          <a:srgbClr val="00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57148</xdr:colOff>
      <xdr:row>18</xdr:row>
      <xdr:rowOff>171450</xdr:rowOff>
    </xdr:from>
    <xdr:to>
      <xdr:col>22</xdr:col>
      <xdr:colOff>161926</xdr:colOff>
      <xdr:row>21</xdr:row>
      <xdr:rowOff>219074</xdr:rowOff>
    </xdr:to>
    <xdr:sp macro="" textlink="">
      <xdr:nvSpPr>
        <xdr:cNvPr id="22" name="Cube 21">
          <a:extLst>
            <a:ext uri="{FF2B5EF4-FFF2-40B4-BE49-F238E27FC236}">
              <a16:creationId xmlns:a16="http://schemas.microsoft.com/office/drawing/2014/main" id="{2DAA2C1A-1937-4698-9AB8-EBC0679C5A31}"/>
            </a:ext>
          </a:extLst>
        </xdr:cNvPr>
        <xdr:cNvSpPr/>
      </xdr:nvSpPr>
      <xdr:spPr>
        <a:xfrm>
          <a:off x="4762498" y="4476750"/>
          <a:ext cx="1095378" cy="761999"/>
        </a:xfrm>
        <a:prstGeom prst="cube">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chemeClr val="tx1"/>
            </a:solidFill>
          </a:endParaRPr>
        </a:p>
      </xdr:txBody>
    </xdr:sp>
    <xdr:clientData/>
  </xdr:twoCellAnchor>
  <xdr:twoCellAnchor>
    <xdr:from>
      <xdr:col>29</xdr:col>
      <xdr:colOff>142878</xdr:colOff>
      <xdr:row>28</xdr:row>
      <xdr:rowOff>142878</xdr:rowOff>
    </xdr:from>
    <xdr:to>
      <xdr:col>32</xdr:col>
      <xdr:colOff>219075</xdr:colOff>
      <xdr:row>30</xdr:row>
      <xdr:rowOff>228601</xdr:rowOff>
    </xdr:to>
    <xdr:sp macro="" textlink="">
      <xdr:nvSpPr>
        <xdr:cNvPr id="23" name="Flowchart: Manual Operation 22">
          <a:extLst>
            <a:ext uri="{FF2B5EF4-FFF2-40B4-BE49-F238E27FC236}">
              <a16:creationId xmlns:a16="http://schemas.microsoft.com/office/drawing/2014/main" id="{CCAC06BE-CD8B-454F-9239-FFA693EBB7BE}"/>
            </a:ext>
          </a:extLst>
        </xdr:cNvPr>
        <xdr:cNvSpPr/>
      </xdr:nvSpPr>
      <xdr:spPr>
        <a:xfrm rot="16200000">
          <a:off x="7700965" y="6700841"/>
          <a:ext cx="561973" cy="819147"/>
        </a:xfrm>
        <a:prstGeom prst="flowChartManualOperation">
          <a:avLst/>
        </a:prstGeom>
        <a:solidFill>
          <a:schemeClr val="accent2">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35</xdr:col>
      <xdr:colOff>228600</xdr:colOff>
      <xdr:row>28</xdr:row>
      <xdr:rowOff>161925</xdr:rowOff>
    </xdr:from>
    <xdr:to>
      <xdr:col>39</xdr:col>
      <xdr:colOff>152400</xdr:colOff>
      <xdr:row>30</xdr:row>
      <xdr:rowOff>190500</xdr:rowOff>
    </xdr:to>
    <xdr:sp macro="" textlink="">
      <xdr:nvSpPr>
        <xdr:cNvPr id="24" name="Cube 23">
          <a:extLst>
            <a:ext uri="{FF2B5EF4-FFF2-40B4-BE49-F238E27FC236}">
              <a16:creationId xmlns:a16="http://schemas.microsoft.com/office/drawing/2014/main" id="{6B69A75D-AA76-4F02-B1A4-7BF4DDDC46D1}"/>
            </a:ext>
          </a:extLst>
        </xdr:cNvPr>
        <xdr:cNvSpPr/>
      </xdr:nvSpPr>
      <xdr:spPr>
        <a:xfrm>
          <a:off x="9144000" y="6848475"/>
          <a:ext cx="914400" cy="504825"/>
        </a:xfrm>
        <a:prstGeom prst="cube">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7</xdr:row>
      <xdr:rowOff>133350</xdr:rowOff>
    </xdr:from>
    <xdr:to>
      <xdr:col>19</xdr:col>
      <xdr:colOff>261939</xdr:colOff>
      <xdr:row>9</xdr:row>
      <xdr:rowOff>96836</xdr:rowOff>
    </xdr:to>
    <xdr:cxnSp macro="">
      <xdr:nvCxnSpPr>
        <xdr:cNvPr id="3" name="Connector: Elbow 2">
          <a:extLst>
            <a:ext uri="{FF2B5EF4-FFF2-40B4-BE49-F238E27FC236}">
              <a16:creationId xmlns:a16="http://schemas.microsoft.com/office/drawing/2014/main" id="{EA1BE2D0-1F4D-4EA8-8FC6-8A1E40E5F5C7}"/>
            </a:ext>
          </a:extLst>
        </xdr:cNvPr>
        <xdr:cNvCxnSpPr>
          <a:endCxn id="16" idx="1"/>
        </xdr:cNvCxnSpPr>
      </xdr:nvCxnSpPr>
      <xdr:spPr>
        <a:xfrm>
          <a:off x="3705225" y="2000250"/>
          <a:ext cx="1147764" cy="439736"/>
        </a:xfrm>
        <a:prstGeom prst="bentConnector2">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9526</xdr:colOff>
      <xdr:row>9</xdr:row>
      <xdr:rowOff>38100</xdr:rowOff>
    </xdr:from>
    <xdr:to>
      <xdr:col>35</xdr:col>
      <xdr:colOff>85725</xdr:colOff>
      <xdr:row>11</xdr:row>
      <xdr:rowOff>44449</xdr:rowOff>
    </xdr:to>
    <xdr:cxnSp macro="">
      <xdr:nvCxnSpPr>
        <xdr:cNvPr id="25" name="Connector: Elbow 24">
          <a:extLst>
            <a:ext uri="{FF2B5EF4-FFF2-40B4-BE49-F238E27FC236}">
              <a16:creationId xmlns:a16="http://schemas.microsoft.com/office/drawing/2014/main" id="{E1E6A378-8BD7-44F3-BE72-1AA8764501AF}"/>
            </a:ext>
          </a:extLst>
        </xdr:cNvPr>
        <xdr:cNvCxnSpPr>
          <a:stCxn id="16" idx="4"/>
        </xdr:cNvCxnSpPr>
      </xdr:nvCxnSpPr>
      <xdr:spPr>
        <a:xfrm flipV="1">
          <a:off x="5705476" y="2200275"/>
          <a:ext cx="3295649" cy="482599"/>
        </a:xfrm>
        <a:prstGeom prst="bentConnector3">
          <a:avLst>
            <a:gd name="adj1" fmla="val 14162"/>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57150</xdr:colOff>
      <xdr:row>7</xdr:row>
      <xdr:rowOff>152401</xdr:rowOff>
    </xdr:from>
    <xdr:to>
      <xdr:col>48</xdr:col>
      <xdr:colOff>19050</xdr:colOff>
      <xdr:row>9</xdr:row>
      <xdr:rowOff>66675</xdr:rowOff>
    </xdr:to>
    <xdr:cxnSp macro="">
      <xdr:nvCxnSpPr>
        <xdr:cNvPr id="26" name="Connector: Elbow 25">
          <a:extLst>
            <a:ext uri="{FF2B5EF4-FFF2-40B4-BE49-F238E27FC236}">
              <a16:creationId xmlns:a16="http://schemas.microsoft.com/office/drawing/2014/main" id="{B7CC03BE-FAFF-4C73-B534-5DFD3B460003}"/>
            </a:ext>
          </a:extLst>
        </xdr:cNvPr>
        <xdr:cNvCxnSpPr/>
      </xdr:nvCxnSpPr>
      <xdr:spPr>
        <a:xfrm flipV="1">
          <a:off x="11487150" y="1838326"/>
          <a:ext cx="790575" cy="390524"/>
        </a:xfrm>
        <a:prstGeom prst="bentConnector3">
          <a:avLst>
            <a:gd name="adj1" fmla="val 50000"/>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7</xdr:row>
      <xdr:rowOff>133351</xdr:rowOff>
    </xdr:from>
    <xdr:to>
      <xdr:col>15</xdr:col>
      <xdr:colOff>9525</xdr:colOff>
      <xdr:row>7</xdr:row>
      <xdr:rowOff>142875</xdr:rowOff>
    </xdr:to>
    <xdr:cxnSp macro="">
      <xdr:nvCxnSpPr>
        <xdr:cNvPr id="29" name="Straight Arrow Connector 28">
          <a:extLst>
            <a:ext uri="{FF2B5EF4-FFF2-40B4-BE49-F238E27FC236}">
              <a16:creationId xmlns:a16="http://schemas.microsoft.com/office/drawing/2014/main" id="{9B82C619-334F-458C-932E-A4FF4E63ADF4}"/>
            </a:ext>
          </a:extLst>
        </xdr:cNvPr>
        <xdr:cNvCxnSpPr/>
      </xdr:nvCxnSpPr>
      <xdr:spPr>
        <a:xfrm flipV="1">
          <a:off x="2657475" y="2000251"/>
          <a:ext cx="676275" cy="9524"/>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199232</xdr:colOff>
      <xdr:row>20</xdr:row>
      <xdr:rowOff>219075</xdr:rowOff>
    </xdr:from>
    <xdr:to>
      <xdr:col>28</xdr:col>
      <xdr:colOff>38100</xdr:colOff>
      <xdr:row>22</xdr:row>
      <xdr:rowOff>181771</xdr:rowOff>
    </xdr:to>
    <xdr:sp macro="" textlink="">
      <xdr:nvSpPr>
        <xdr:cNvPr id="18" name="Can 2">
          <a:extLst>
            <a:ext uri="{FF2B5EF4-FFF2-40B4-BE49-F238E27FC236}">
              <a16:creationId xmlns:a16="http://schemas.microsoft.com/office/drawing/2014/main" id="{D4AA6A06-1D78-4DAF-91DE-F2D90EBA7962}"/>
            </a:ext>
          </a:extLst>
        </xdr:cNvPr>
        <xdr:cNvSpPr/>
      </xdr:nvSpPr>
      <xdr:spPr>
        <a:xfrm>
          <a:off x="7628732" y="5000625"/>
          <a:ext cx="581818" cy="438946"/>
        </a:xfrm>
        <a:prstGeom prst="can">
          <a:avLst>
            <a:gd name="adj" fmla="val 33065"/>
          </a:avLst>
        </a:prstGeom>
        <a:solidFill>
          <a:srgbClr val="00B0F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40</xdr:col>
      <xdr:colOff>180974</xdr:colOff>
      <xdr:row>22</xdr:row>
      <xdr:rowOff>219075</xdr:rowOff>
    </xdr:from>
    <xdr:to>
      <xdr:col>44</xdr:col>
      <xdr:colOff>266699</xdr:colOff>
      <xdr:row>25</xdr:row>
      <xdr:rowOff>200025</xdr:rowOff>
    </xdr:to>
    <xdr:sp macro="" textlink="">
      <xdr:nvSpPr>
        <xdr:cNvPr id="33" name="Cube 32">
          <a:extLst>
            <a:ext uri="{FF2B5EF4-FFF2-40B4-BE49-F238E27FC236}">
              <a16:creationId xmlns:a16="http://schemas.microsoft.com/office/drawing/2014/main" id="{7739E0EF-8BD8-4E82-9F6C-62A35FC22C98}"/>
            </a:ext>
          </a:extLst>
        </xdr:cNvPr>
        <xdr:cNvSpPr/>
      </xdr:nvSpPr>
      <xdr:spPr>
        <a:xfrm>
          <a:off x="10887074" y="5657850"/>
          <a:ext cx="1266825" cy="695325"/>
        </a:xfrm>
        <a:prstGeom prst="cube">
          <a:avLst/>
        </a:prstGeom>
        <a:solidFill>
          <a:srgbClr val="CCFF33"/>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219076</xdr:colOff>
      <xdr:row>9</xdr:row>
      <xdr:rowOff>96836</xdr:rowOff>
    </xdr:from>
    <xdr:to>
      <xdr:col>22</xdr:col>
      <xdr:colOff>9526</xdr:colOff>
      <xdr:row>12</xdr:row>
      <xdr:rowOff>230186</xdr:rowOff>
    </xdr:to>
    <xdr:sp macro="" textlink="">
      <xdr:nvSpPr>
        <xdr:cNvPr id="27" name="Flowchart: Magnetic Disk 26">
          <a:extLst>
            <a:ext uri="{FF2B5EF4-FFF2-40B4-BE49-F238E27FC236}">
              <a16:creationId xmlns:a16="http://schemas.microsoft.com/office/drawing/2014/main" id="{AD6F0D50-1C12-4DBE-82CE-390C8435A9D4}"/>
            </a:ext>
          </a:extLst>
        </xdr:cNvPr>
        <xdr:cNvSpPr/>
      </xdr:nvSpPr>
      <xdr:spPr>
        <a:xfrm>
          <a:off x="4219576" y="2439986"/>
          <a:ext cx="1266825" cy="847725"/>
        </a:xfrm>
        <a:prstGeom prst="flowChartMagneticDisk">
          <a:avLst/>
        </a:prstGeom>
        <a:solidFill>
          <a:schemeClr val="accent6">
            <a:lumMod val="75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34</xdr:col>
      <xdr:colOff>104775</xdr:colOff>
      <xdr:row>8</xdr:row>
      <xdr:rowOff>85725</xdr:rowOff>
    </xdr:from>
    <xdr:to>
      <xdr:col>45</xdr:col>
      <xdr:colOff>266700</xdr:colOff>
      <xdr:row>15</xdr:row>
      <xdr:rowOff>219075</xdr:rowOff>
    </xdr:to>
    <xdr:sp macro="" textlink="">
      <xdr:nvSpPr>
        <xdr:cNvPr id="28" name="Cube 27">
          <a:extLst>
            <a:ext uri="{FF2B5EF4-FFF2-40B4-BE49-F238E27FC236}">
              <a16:creationId xmlns:a16="http://schemas.microsoft.com/office/drawing/2014/main" id="{D3EA81AE-FD85-47BA-B947-E6C705AA9A21}"/>
            </a:ext>
          </a:extLst>
        </xdr:cNvPr>
        <xdr:cNvSpPr/>
      </xdr:nvSpPr>
      <xdr:spPr>
        <a:xfrm>
          <a:off x="9124950" y="2190750"/>
          <a:ext cx="3409950" cy="1800225"/>
        </a:xfrm>
        <a:prstGeom prst="cube">
          <a:avLst/>
        </a:prstGeom>
        <a:solidFill>
          <a:schemeClr val="accent4">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57151</xdr:colOff>
      <xdr:row>10</xdr:row>
      <xdr:rowOff>9525</xdr:rowOff>
    </xdr:from>
    <xdr:to>
      <xdr:col>31</xdr:col>
      <xdr:colOff>38100</xdr:colOff>
      <xdr:row>13</xdr:row>
      <xdr:rowOff>200026</xdr:rowOff>
    </xdr:to>
    <xdr:sp macro="" textlink="">
      <xdr:nvSpPr>
        <xdr:cNvPr id="30" name="Cube 29">
          <a:extLst>
            <a:ext uri="{FF2B5EF4-FFF2-40B4-BE49-F238E27FC236}">
              <a16:creationId xmlns:a16="http://schemas.microsoft.com/office/drawing/2014/main" id="{9148F6F0-7483-4A9B-ADEB-15B4FF00E9C4}"/>
            </a:ext>
          </a:extLst>
        </xdr:cNvPr>
        <xdr:cNvSpPr/>
      </xdr:nvSpPr>
      <xdr:spPr>
        <a:xfrm>
          <a:off x="6419851" y="2590800"/>
          <a:ext cx="1752599" cy="904876"/>
        </a:xfrm>
        <a:prstGeom prst="cube">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171448</xdr:colOff>
      <xdr:row>18</xdr:row>
      <xdr:rowOff>219075</xdr:rowOff>
    </xdr:from>
    <xdr:to>
      <xdr:col>34</xdr:col>
      <xdr:colOff>209550</xdr:colOff>
      <xdr:row>21</xdr:row>
      <xdr:rowOff>209548</xdr:rowOff>
    </xdr:to>
    <xdr:sp macro="" textlink="">
      <xdr:nvSpPr>
        <xdr:cNvPr id="31" name="Cube 30">
          <a:extLst>
            <a:ext uri="{FF2B5EF4-FFF2-40B4-BE49-F238E27FC236}">
              <a16:creationId xmlns:a16="http://schemas.microsoft.com/office/drawing/2014/main" id="{D3D4E3F5-FCBA-4C83-A3FA-01D3049BEBA5}"/>
            </a:ext>
          </a:extLst>
        </xdr:cNvPr>
        <xdr:cNvSpPr/>
      </xdr:nvSpPr>
      <xdr:spPr>
        <a:xfrm>
          <a:off x="7124698" y="4705350"/>
          <a:ext cx="2105027" cy="704848"/>
        </a:xfrm>
        <a:prstGeom prst="cube">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chemeClr val="tx1"/>
            </a:solidFill>
          </a:endParaRPr>
        </a:p>
      </xdr:txBody>
    </xdr:sp>
    <xdr:clientData/>
  </xdr:twoCellAnchor>
  <xdr:twoCellAnchor>
    <xdr:from>
      <xdr:col>24</xdr:col>
      <xdr:colOff>190499</xdr:colOff>
      <xdr:row>12</xdr:row>
      <xdr:rowOff>123825</xdr:rowOff>
    </xdr:from>
    <xdr:to>
      <xdr:col>26</xdr:col>
      <xdr:colOff>209551</xdr:colOff>
      <xdr:row>14</xdr:row>
      <xdr:rowOff>238124</xdr:rowOff>
    </xdr:to>
    <xdr:sp macro="" textlink="">
      <xdr:nvSpPr>
        <xdr:cNvPr id="32" name="Cube 31">
          <a:extLst>
            <a:ext uri="{FF2B5EF4-FFF2-40B4-BE49-F238E27FC236}">
              <a16:creationId xmlns:a16="http://schemas.microsoft.com/office/drawing/2014/main" id="{871A2B7D-BDB4-4DE5-9C92-3DA8B748D5C5}"/>
            </a:ext>
          </a:extLst>
        </xdr:cNvPr>
        <xdr:cNvSpPr/>
      </xdr:nvSpPr>
      <xdr:spPr>
        <a:xfrm>
          <a:off x="6257924" y="3181350"/>
          <a:ext cx="609602" cy="590549"/>
        </a:xfrm>
        <a:prstGeom prst="cube">
          <a:avLst/>
        </a:prstGeom>
        <a:solidFill>
          <a:srgbClr val="00FF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57148</xdr:colOff>
      <xdr:row>18</xdr:row>
      <xdr:rowOff>171450</xdr:rowOff>
    </xdr:from>
    <xdr:to>
      <xdr:col>22</xdr:col>
      <xdr:colOff>161926</xdr:colOff>
      <xdr:row>21</xdr:row>
      <xdr:rowOff>219074</xdr:rowOff>
    </xdr:to>
    <xdr:sp macro="" textlink="">
      <xdr:nvSpPr>
        <xdr:cNvPr id="34" name="Cube 33">
          <a:extLst>
            <a:ext uri="{FF2B5EF4-FFF2-40B4-BE49-F238E27FC236}">
              <a16:creationId xmlns:a16="http://schemas.microsoft.com/office/drawing/2014/main" id="{33FC7BBA-EC4A-421E-9CDE-FD47FB7BE788}"/>
            </a:ext>
          </a:extLst>
        </xdr:cNvPr>
        <xdr:cNvSpPr/>
      </xdr:nvSpPr>
      <xdr:spPr>
        <a:xfrm>
          <a:off x="4352923" y="4657725"/>
          <a:ext cx="1285878" cy="761999"/>
        </a:xfrm>
        <a:prstGeom prst="cube">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chemeClr val="tx1"/>
            </a:solidFill>
          </a:endParaRPr>
        </a:p>
      </xdr:txBody>
    </xdr:sp>
    <xdr:clientData/>
  </xdr:twoCellAnchor>
  <xdr:twoCellAnchor>
    <xdr:from>
      <xdr:col>29</xdr:col>
      <xdr:colOff>142878</xdr:colOff>
      <xdr:row>28</xdr:row>
      <xdr:rowOff>142878</xdr:rowOff>
    </xdr:from>
    <xdr:to>
      <xdr:col>32</xdr:col>
      <xdr:colOff>219075</xdr:colOff>
      <xdr:row>30</xdr:row>
      <xdr:rowOff>228601</xdr:rowOff>
    </xdr:to>
    <xdr:sp macro="" textlink="">
      <xdr:nvSpPr>
        <xdr:cNvPr id="35" name="Flowchart: Manual Operation 34">
          <a:extLst>
            <a:ext uri="{FF2B5EF4-FFF2-40B4-BE49-F238E27FC236}">
              <a16:creationId xmlns:a16="http://schemas.microsoft.com/office/drawing/2014/main" id="{4AA4497E-458D-415D-BADE-23AFEA3A022C}"/>
            </a:ext>
          </a:extLst>
        </xdr:cNvPr>
        <xdr:cNvSpPr/>
      </xdr:nvSpPr>
      <xdr:spPr>
        <a:xfrm rot="16200000">
          <a:off x="7886702" y="6810379"/>
          <a:ext cx="561973" cy="962022"/>
        </a:xfrm>
        <a:prstGeom prst="flowChartManualOperation">
          <a:avLst/>
        </a:prstGeom>
        <a:solidFill>
          <a:schemeClr val="accent2">
            <a:lumMod val="40000"/>
            <a:lumOff val="6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35</xdr:col>
      <xdr:colOff>228600</xdr:colOff>
      <xdr:row>28</xdr:row>
      <xdr:rowOff>161925</xdr:rowOff>
    </xdr:from>
    <xdr:to>
      <xdr:col>39</xdr:col>
      <xdr:colOff>152400</xdr:colOff>
      <xdr:row>30</xdr:row>
      <xdr:rowOff>190500</xdr:rowOff>
    </xdr:to>
    <xdr:sp macro="" textlink="">
      <xdr:nvSpPr>
        <xdr:cNvPr id="36" name="Cube 35">
          <a:extLst>
            <a:ext uri="{FF2B5EF4-FFF2-40B4-BE49-F238E27FC236}">
              <a16:creationId xmlns:a16="http://schemas.microsoft.com/office/drawing/2014/main" id="{5F8FEA18-266D-42F7-B353-E8A2D36C4631}"/>
            </a:ext>
          </a:extLst>
        </xdr:cNvPr>
        <xdr:cNvSpPr/>
      </xdr:nvSpPr>
      <xdr:spPr>
        <a:xfrm>
          <a:off x="9544050" y="7029450"/>
          <a:ext cx="1104900" cy="504825"/>
        </a:xfrm>
        <a:prstGeom prst="cube">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9526</xdr:colOff>
      <xdr:row>9</xdr:row>
      <xdr:rowOff>38100</xdr:rowOff>
    </xdr:from>
    <xdr:to>
      <xdr:col>35</xdr:col>
      <xdr:colOff>85725</xdr:colOff>
      <xdr:row>11</xdr:row>
      <xdr:rowOff>44449</xdr:rowOff>
    </xdr:to>
    <xdr:cxnSp macro="">
      <xdr:nvCxnSpPr>
        <xdr:cNvPr id="38" name="Connector: Elbow 37">
          <a:extLst>
            <a:ext uri="{FF2B5EF4-FFF2-40B4-BE49-F238E27FC236}">
              <a16:creationId xmlns:a16="http://schemas.microsoft.com/office/drawing/2014/main" id="{A3BF03F7-7428-4041-B81B-61B74E58E425}"/>
            </a:ext>
          </a:extLst>
        </xdr:cNvPr>
        <xdr:cNvCxnSpPr>
          <a:stCxn id="27" idx="4"/>
        </xdr:cNvCxnSpPr>
      </xdr:nvCxnSpPr>
      <xdr:spPr>
        <a:xfrm flipV="1">
          <a:off x="5486401" y="2381250"/>
          <a:ext cx="3914774" cy="487361"/>
        </a:xfrm>
        <a:prstGeom prst="bentConnector3">
          <a:avLst>
            <a:gd name="adj1" fmla="val 14162"/>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57150</xdr:colOff>
      <xdr:row>7</xdr:row>
      <xdr:rowOff>133350</xdr:rowOff>
    </xdr:from>
    <xdr:to>
      <xdr:col>51</xdr:col>
      <xdr:colOff>247650</xdr:colOff>
      <xdr:row>9</xdr:row>
      <xdr:rowOff>66675</xdr:rowOff>
    </xdr:to>
    <xdr:cxnSp macro="">
      <xdr:nvCxnSpPr>
        <xdr:cNvPr id="39" name="Connector: Elbow 38">
          <a:extLst>
            <a:ext uri="{FF2B5EF4-FFF2-40B4-BE49-F238E27FC236}">
              <a16:creationId xmlns:a16="http://schemas.microsoft.com/office/drawing/2014/main" id="{7E272CA6-D069-46BA-9589-3B38DCB5125B}"/>
            </a:ext>
          </a:extLst>
        </xdr:cNvPr>
        <xdr:cNvCxnSpPr/>
      </xdr:nvCxnSpPr>
      <xdr:spPr>
        <a:xfrm flipV="1">
          <a:off x="12325350" y="2000250"/>
          <a:ext cx="1924050" cy="409575"/>
        </a:xfrm>
        <a:prstGeom prst="bentConnector3">
          <a:avLst>
            <a:gd name="adj1" fmla="val 50000"/>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7</xdr:row>
      <xdr:rowOff>133351</xdr:rowOff>
    </xdr:from>
    <xdr:to>
      <xdr:col>15</xdr:col>
      <xdr:colOff>9525</xdr:colOff>
      <xdr:row>7</xdr:row>
      <xdr:rowOff>142875</xdr:rowOff>
    </xdr:to>
    <xdr:cxnSp macro="">
      <xdr:nvCxnSpPr>
        <xdr:cNvPr id="40" name="Straight Arrow Connector 39">
          <a:extLst>
            <a:ext uri="{FF2B5EF4-FFF2-40B4-BE49-F238E27FC236}">
              <a16:creationId xmlns:a16="http://schemas.microsoft.com/office/drawing/2014/main" id="{0D6F2C80-E832-4C33-8338-43EA440B0AE1}"/>
            </a:ext>
          </a:extLst>
        </xdr:cNvPr>
        <xdr:cNvCxnSpPr/>
      </xdr:nvCxnSpPr>
      <xdr:spPr>
        <a:xfrm flipV="1">
          <a:off x="2657475" y="2000251"/>
          <a:ext cx="676275" cy="9524"/>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199232</xdr:colOff>
      <xdr:row>20</xdr:row>
      <xdr:rowOff>219075</xdr:rowOff>
    </xdr:from>
    <xdr:to>
      <xdr:col>28</xdr:col>
      <xdr:colOff>38100</xdr:colOff>
      <xdr:row>22</xdr:row>
      <xdr:rowOff>181771</xdr:rowOff>
    </xdr:to>
    <xdr:sp macro="" textlink="">
      <xdr:nvSpPr>
        <xdr:cNvPr id="41" name="Can 2">
          <a:extLst>
            <a:ext uri="{FF2B5EF4-FFF2-40B4-BE49-F238E27FC236}">
              <a16:creationId xmlns:a16="http://schemas.microsoft.com/office/drawing/2014/main" id="{EF5B7E66-EFFD-4C1D-8956-2E053EEC9A18}"/>
            </a:ext>
          </a:extLst>
        </xdr:cNvPr>
        <xdr:cNvSpPr/>
      </xdr:nvSpPr>
      <xdr:spPr>
        <a:xfrm>
          <a:off x="6561932" y="5181600"/>
          <a:ext cx="724693" cy="438946"/>
        </a:xfrm>
        <a:prstGeom prst="can">
          <a:avLst>
            <a:gd name="adj" fmla="val 33065"/>
          </a:avLst>
        </a:prstGeom>
        <a:solidFill>
          <a:srgbClr val="00B0F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40</xdr:col>
      <xdr:colOff>180974</xdr:colOff>
      <xdr:row>22</xdr:row>
      <xdr:rowOff>219075</xdr:rowOff>
    </xdr:from>
    <xdr:to>
      <xdr:col>44</xdr:col>
      <xdr:colOff>266699</xdr:colOff>
      <xdr:row>25</xdr:row>
      <xdr:rowOff>200025</xdr:rowOff>
    </xdr:to>
    <xdr:sp macro="" textlink="">
      <xdr:nvSpPr>
        <xdr:cNvPr id="42" name="Cube 41">
          <a:extLst>
            <a:ext uri="{FF2B5EF4-FFF2-40B4-BE49-F238E27FC236}">
              <a16:creationId xmlns:a16="http://schemas.microsoft.com/office/drawing/2014/main" id="{14673F0D-6A27-4A86-8E6B-63D018278D38}"/>
            </a:ext>
          </a:extLst>
        </xdr:cNvPr>
        <xdr:cNvSpPr/>
      </xdr:nvSpPr>
      <xdr:spPr>
        <a:xfrm>
          <a:off x="10972799" y="5657850"/>
          <a:ext cx="1266825" cy="695325"/>
        </a:xfrm>
        <a:prstGeom prst="cube">
          <a:avLst/>
        </a:prstGeom>
        <a:solidFill>
          <a:srgbClr val="CCFF33"/>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44</xdr:col>
      <xdr:colOff>219075</xdr:colOff>
      <xdr:row>21</xdr:row>
      <xdr:rowOff>133350</xdr:rowOff>
    </xdr:from>
    <xdr:to>
      <xdr:col>53</xdr:col>
      <xdr:colOff>180975</xdr:colOff>
      <xdr:row>28</xdr:row>
      <xdr:rowOff>114300</xdr:rowOff>
    </xdr:to>
    <xdr:cxnSp macro="">
      <xdr:nvCxnSpPr>
        <xdr:cNvPr id="44" name="Straight Arrow Connector 43">
          <a:extLst>
            <a:ext uri="{FF2B5EF4-FFF2-40B4-BE49-F238E27FC236}">
              <a16:creationId xmlns:a16="http://schemas.microsoft.com/office/drawing/2014/main" id="{C44730B1-C437-4484-A4EA-3E43907D2325}"/>
            </a:ext>
          </a:extLst>
        </xdr:cNvPr>
        <xdr:cNvCxnSpPr/>
      </xdr:nvCxnSpPr>
      <xdr:spPr>
        <a:xfrm flipV="1">
          <a:off x="12192000" y="5334000"/>
          <a:ext cx="2505075" cy="1647825"/>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40</xdr:col>
      <xdr:colOff>76201</xdr:colOff>
      <xdr:row>27</xdr:row>
      <xdr:rowOff>219183</xdr:rowOff>
    </xdr:from>
    <xdr:to>
      <xdr:col>41</xdr:col>
      <xdr:colOff>120651</xdr:colOff>
      <xdr:row>29</xdr:row>
      <xdr:rowOff>107949</xdr:rowOff>
    </xdr:to>
    <xdr:pic>
      <xdr:nvPicPr>
        <xdr:cNvPr id="45" name="Picture 44">
          <a:extLst>
            <a:ext uri="{FF2B5EF4-FFF2-40B4-BE49-F238E27FC236}">
              <a16:creationId xmlns:a16="http://schemas.microsoft.com/office/drawing/2014/main" id="{8407D8C8-B72F-4195-A4F1-E1550EE07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8026" y="6848583"/>
          <a:ext cx="342900" cy="361841"/>
        </a:xfrm>
        <a:prstGeom prst="rect">
          <a:avLst/>
        </a:prstGeom>
      </xdr:spPr>
    </xdr:pic>
    <xdr:clientData/>
  </xdr:twoCellAnchor>
  <xdr:twoCellAnchor>
    <xdr:from>
      <xdr:col>41</xdr:col>
      <xdr:colOff>123826</xdr:colOff>
      <xdr:row>28</xdr:row>
      <xdr:rowOff>123825</xdr:rowOff>
    </xdr:from>
    <xdr:to>
      <xdr:col>42</xdr:col>
      <xdr:colOff>38100</xdr:colOff>
      <xdr:row>28</xdr:row>
      <xdr:rowOff>161979</xdr:rowOff>
    </xdr:to>
    <xdr:cxnSp macro="">
      <xdr:nvCxnSpPr>
        <xdr:cNvPr id="49" name="Straight Arrow Connector 48">
          <a:extLst>
            <a:ext uri="{FF2B5EF4-FFF2-40B4-BE49-F238E27FC236}">
              <a16:creationId xmlns:a16="http://schemas.microsoft.com/office/drawing/2014/main" id="{24B04BCE-EC15-403B-9515-C6A56C95769C}"/>
            </a:ext>
          </a:extLst>
        </xdr:cNvPr>
        <xdr:cNvCxnSpPr>
          <a:stCxn id="45" idx="3"/>
        </xdr:cNvCxnSpPr>
      </xdr:nvCxnSpPr>
      <xdr:spPr>
        <a:xfrm flipV="1">
          <a:off x="11210926" y="6991350"/>
          <a:ext cx="209549" cy="38154"/>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47</xdr:col>
      <xdr:colOff>95250</xdr:colOff>
      <xdr:row>25</xdr:row>
      <xdr:rowOff>93509</xdr:rowOff>
    </xdr:from>
    <xdr:to>
      <xdr:col>69</xdr:col>
      <xdr:colOff>75215</xdr:colOff>
      <xdr:row>50</xdr:row>
      <xdr:rowOff>161229</xdr:rowOff>
    </xdr:to>
    <xdr:pic>
      <xdr:nvPicPr>
        <xdr:cNvPr id="2" name="Picture 1">
          <a:extLst>
            <a:ext uri="{FF2B5EF4-FFF2-40B4-BE49-F238E27FC236}">
              <a16:creationId xmlns:a16="http://schemas.microsoft.com/office/drawing/2014/main" id="{88B72D6D-B9E8-4DF1-ACCB-6A425CB92D84}"/>
            </a:ext>
          </a:extLst>
        </xdr:cNvPr>
        <xdr:cNvPicPr>
          <a:picLocks noChangeAspect="1"/>
        </xdr:cNvPicPr>
      </xdr:nvPicPr>
      <xdr:blipFill>
        <a:blip xmlns:r="http://schemas.openxmlformats.org/officeDocument/2006/relationships" r:embed="rId1"/>
        <a:stretch>
          <a:fillRect/>
        </a:stretch>
      </xdr:blipFill>
      <xdr:spPr>
        <a:xfrm>
          <a:off x="12011025" y="6761009"/>
          <a:ext cx="6190265" cy="4595270"/>
        </a:xfrm>
        <a:prstGeom prst="rect">
          <a:avLst/>
        </a:prstGeom>
      </xdr:spPr>
    </xdr:pic>
    <xdr:clientData/>
  </xdr:twoCellAnchor>
  <xdr:twoCellAnchor editAs="oneCell">
    <xdr:from>
      <xdr:col>47</xdr:col>
      <xdr:colOff>163027</xdr:colOff>
      <xdr:row>46</xdr:row>
      <xdr:rowOff>95249</xdr:rowOff>
    </xdr:from>
    <xdr:to>
      <xdr:col>71</xdr:col>
      <xdr:colOff>551124</xdr:colOff>
      <xdr:row>58</xdr:row>
      <xdr:rowOff>21889</xdr:rowOff>
    </xdr:to>
    <xdr:pic>
      <xdr:nvPicPr>
        <xdr:cNvPr id="3" name="Picture 2">
          <a:extLst>
            <a:ext uri="{FF2B5EF4-FFF2-40B4-BE49-F238E27FC236}">
              <a16:creationId xmlns:a16="http://schemas.microsoft.com/office/drawing/2014/main" id="{574BD971-4DB4-4AFB-837E-367ED50D7727}"/>
            </a:ext>
          </a:extLst>
        </xdr:cNvPr>
        <xdr:cNvPicPr>
          <a:picLocks noChangeAspect="1"/>
        </xdr:cNvPicPr>
      </xdr:nvPicPr>
      <xdr:blipFill>
        <a:blip xmlns:r="http://schemas.openxmlformats.org/officeDocument/2006/relationships" r:embed="rId2"/>
        <a:stretch>
          <a:fillRect/>
        </a:stretch>
      </xdr:blipFill>
      <xdr:spPr>
        <a:xfrm>
          <a:off x="12075627" y="11791949"/>
          <a:ext cx="7877922" cy="2098340"/>
        </a:xfrm>
        <a:prstGeom prst="rect">
          <a:avLst/>
        </a:prstGeom>
      </xdr:spPr>
    </xdr:pic>
    <xdr:clientData/>
  </xdr:twoCellAnchor>
  <xdr:twoCellAnchor editAs="oneCell">
    <xdr:from>
      <xdr:col>20</xdr:col>
      <xdr:colOff>28576</xdr:colOff>
      <xdr:row>25</xdr:row>
      <xdr:rowOff>57150</xdr:rowOff>
    </xdr:from>
    <xdr:to>
      <xdr:col>46</xdr:col>
      <xdr:colOff>189330</xdr:colOff>
      <xdr:row>49</xdr:row>
      <xdr:rowOff>38100</xdr:rowOff>
    </xdr:to>
    <xdr:pic>
      <xdr:nvPicPr>
        <xdr:cNvPr id="4" name="Picture 3" descr="Wiring Diagrams">
          <a:extLst>
            <a:ext uri="{FF2B5EF4-FFF2-40B4-BE49-F238E27FC236}">
              <a16:creationId xmlns:a16="http://schemas.microsoft.com/office/drawing/2014/main" id="{FDFEF52F-9507-406A-A2AD-A3EC12347B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97501" y="6724650"/>
          <a:ext cx="6431379"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57</xdr:row>
      <xdr:rowOff>47116</xdr:rowOff>
    </xdr:from>
    <xdr:to>
      <xdr:col>18</xdr:col>
      <xdr:colOff>57150</xdr:colOff>
      <xdr:row>90</xdr:row>
      <xdr:rowOff>160284</xdr:rowOff>
    </xdr:to>
    <xdr:pic>
      <xdr:nvPicPr>
        <xdr:cNvPr id="5" name="Picture 4">
          <a:extLst>
            <a:ext uri="{FF2B5EF4-FFF2-40B4-BE49-F238E27FC236}">
              <a16:creationId xmlns:a16="http://schemas.microsoft.com/office/drawing/2014/main" id="{0EAE29AC-FC37-41B8-9D1A-FF85A7A24C9A}"/>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77825" y="14223491"/>
          <a:ext cx="4575175" cy="6085343"/>
        </a:xfrm>
        <a:prstGeom prst="rect">
          <a:avLst/>
        </a:prstGeom>
      </xdr:spPr>
    </xdr:pic>
    <xdr:clientData/>
  </xdr:twoCellAnchor>
  <xdr:twoCellAnchor editAs="oneCell">
    <xdr:from>
      <xdr:col>21</xdr:col>
      <xdr:colOff>47343</xdr:colOff>
      <xdr:row>59</xdr:row>
      <xdr:rowOff>68301</xdr:rowOff>
    </xdr:from>
    <xdr:to>
      <xdr:col>51</xdr:col>
      <xdr:colOff>133350</xdr:colOff>
      <xdr:row>91</xdr:row>
      <xdr:rowOff>28179</xdr:rowOff>
    </xdr:to>
    <xdr:pic>
      <xdr:nvPicPr>
        <xdr:cNvPr id="6" name="Picture 5">
          <a:extLst>
            <a:ext uri="{FF2B5EF4-FFF2-40B4-BE49-F238E27FC236}">
              <a16:creationId xmlns:a16="http://schemas.microsoft.com/office/drawing/2014/main" id="{BAEDB17D-9FE8-4634-B58A-65E507BB4D07}"/>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660743" y="14743151"/>
          <a:ext cx="7417082" cy="5757428"/>
        </a:xfrm>
        <a:prstGeom prst="rect">
          <a:avLst/>
        </a:prstGeom>
      </xdr:spPr>
    </xdr:pic>
    <xdr:clientData/>
  </xdr:twoCellAnchor>
  <xdr:twoCellAnchor editAs="oneCell">
    <xdr:from>
      <xdr:col>1</xdr:col>
      <xdr:colOff>76200</xdr:colOff>
      <xdr:row>86</xdr:row>
      <xdr:rowOff>57150</xdr:rowOff>
    </xdr:from>
    <xdr:to>
      <xdr:col>49</xdr:col>
      <xdr:colOff>17100</xdr:colOff>
      <xdr:row>114</xdr:row>
      <xdr:rowOff>133350</xdr:rowOff>
    </xdr:to>
    <xdr:pic>
      <xdr:nvPicPr>
        <xdr:cNvPr id="7" name="Picture 6">
          <a:extLst>
            <a:ext uri="{FF2B5EF4-FFF2-40B4-BE49-F238E27FC236}">
              <a16:creationId xmlns:a16="http://schemas.microsoft.com/office/drawing/2014/main" id="{14A706E7-01E8-406A-98BC-C3A99F35C95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409575" y="21193125"/>
          <a:ext cx="12037650" cy="5143500"/>
        </a:xfrm>
        <a:prstGeom prst="rect">
          <a:avLst/>
        </a:prstGeom>
      </xdr:spPr>
    </xdr:pic>
    <xdr:clientData/>
  </xdr:twoCellAnchor>
  <xdr:twoCellAnchor editAs="oneCell">
    <xdr:from>
      <xdr:col>32</xdr:col>
      <xdr:colOff>17207</xdr:colOff>
      <xdr:row>9</xdr:row>
      <xdr:rowOff>28574</xdr:rowOff>
    </xdr:from>
    <xdr:to>
      <xdr:col>45</xdr:col>
      <xdr:colOff>245492</xdr:colOff>
      <xdr:row>23</xdr:row>
      <xdr:rowOff>123825</xdr:rowOff>
    </xdr:to>
    <xdr:pic>
      <xdr:nvPicPr>
        <xdr:cNvPr id="8" name="Picture 7">
          <a:extLst>
            <a:ext uri="{FF2B5EF4-FFF2-40B4-BE49-F238E27FC236}">
              <a16:creationId xmlns:a16="http://schemas.microsoft.com/office/drawing/2014/main" id="{5C49B47B-3087-468E-A4ED-0F7AA6ABED5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tretch>
          <a:fillRect/>
        </a:stretch>
      </xdr:blipFill>
      <xdr:spPr>
        <a:xfrm>
          <a:off x="8246807" y="2708274"/>
          <a:ext cx="3362010" cy="2622551"/>
        </a:xfrm>
        <a:prstGeom prst="rect">
          <a:avLst/>
        </a:prstGeom>
      </xdr:spPr>
    </xdr:pic>
    <xdr:clientData/>
  </xdr:twoCellAnchor>
  <xdr:twoCellAnchor editAs="oneCell">
    <xdr:from>
      <xdr:col>16</xdr:col>
      <xdr:colOff>57150</xdr:colOff>
      <xdr:row>46</xdr:row>
      <xdr:rowOff>74856</xdr:rowOff>
    </xdr:from>
    <xdr:to>
      <xdr:col>27</xdr:col>
      <xdr:colOff>0</xdr:colOff>
      <xdr:row>56</xdr:row>
      <xdr:rowOff>151462</xdr:rowOff>
    </xdr:to>
    <xdr:pic>
      <xdr:nvPicPr>
        <xdr:cNvPr id="9" name="Picture 8">
          <a:extLst>
            <a:ext uri="{FF2B5EF4-FFF2-40B4-BE49-F238E27FC236}">
              <a16:creationId xmlns:a16="http://schemas.microsoft.com/office/drawing/2014/main" id="{F2B62EA7-B2BE-40FD-9257-EF7074830852}"/>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4438650" y="11771556"/>
          <a:ext cx="2600325" cy="1886356"/>
        </a:xfrm>
        <a:prstGeom prst="rect">
          <a:avLst/>
        </a:prstGeom>
      </xdr:spPr>
    </xdr:pic>
    <xdr:clientData/>
  </xdr:twoCellAnchor>
  <xdr:twoCellAnchor editAs="oneCell">
    <xdr:from>
      <xdr:col>27</xdr:col>
      <xdr:colOff>238124</xdr:colOff>
      <xdr:row>46</xdr:row>
      <xdr:rowOff>76200</xdr:rowOff>
    </xdr:from>
    <xdr:to>
      <xdr:col>44</xdr:col>
      <xdr:colOff>19049</xdr:colOff>
      <xdr:row>57</xdr:row>
      <xdr:rowOff>124483</xdr:rowOff>
    </xdr:to>
    <xdr:pic>
      <xdr:nvPicPr>
        <xdr:cNvPr id="10" name="Picture 9">
          <a:extLst>
            <a:ext uri="{FF2B5EF4-FFF2-40B4-BE49-F238E27FC236}">
              <a16:creationId xmlns:a16="http://schemas.microsoft.com/office/drawing/2014/main" id="{F19276EA-7CD5-4D21-AF6D-C3912F1114E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280274" y="11772900"/>
          <a:ext cx="3825875" cy="2035833"/>
        </a:xfrm>
        <a:prstGeom prst="rect">
          <a:avLst/>
        </a:prstGeom>
        <a:ln>
          <a:solidFill>
            <a:sysClr val="windowText" lastClr="000000"/>
          </a:solidFill>
        </a:ln>
      </xdr:spPr>
    </xdr:pic>
    <xdr:clientData/>
  </xdr:twoCellAnchor>
  <xdr:twoCellAnchor editAs="oneCell">
    <xdr:from>
      <xdr:col>17</xdr:col>
      <xdr:colOff>9526</xdr:colOff>
      <xdr:row>9</xdr:row>
      <xdr:rowOff>17558</xdr:rowOff>
    </xdr:from>
    <xdr:to>
      <xdr:col>31</xdr:col>
      <xdr:colOff>114992</xdr:colOff>
      <xdr:row>23</xdr:row>
      <xdr:rowOff>104389</xdr:rowOff>
    </xdr:to>
    <xdr:pic>
      <xdr:nvPicPr>
        <xdr:cNvPr id="11" name="Picture 10">
          <a:extLst>
            <a:ext uri="{FF2B5EF4-FFF2-40B4-BE49-F238E27FC236}">
              <a16:creationId xmlns:a16="http://schemas.microsoft.com/office/drawing/2014/main" id="{E449D86A-A34F-4DA8-BBF5-56946BE98ECB}"/>
            </a:ext>
          </a:extLst>
        </xdr:cNvPr>
        <xdr:cNvPicPr>
          <a:picLocks noChangeAspect="1"/>
        </xdr:cNvPicPr>
      </xdr:nvPicPr>
      <xdr:blipFill>
        <a:blip xmlns:r="http://schemas.openxmlformats.org/officeDocument/2006/relationships" r:embed="rId10"/>
        <a:stretch>
          <a:fillRect/>
        </a:stretch>
      </xdr:blipFill>
      <xdr:spPr>
        <a:xfrm>
          <a:off x="4664076" y="2694083"/>
          <a:ext cx="3442391" cy="2623656"/>
        </a:xfrm>
        <a:prstGeom prst="rect">
          <a:avLst/>
        </a:prstGeom>
      </xdr:spPr>
    </xdr:pic>
    <xdr:clientData/>
  </xdr:twoCellAnchor>
  <xdr:twoCellAnchor>
    <xdr:from>
      <xdr:col>3</xdr:col>
      <xdr:colOff>161925</xdr:colOff>
      <xdr:row>23</xdr:row>
      <xdr:rowOff>19050</xdr:rowOff>
    </xdr:from>
    <xdr:to>
      <xdr:col>6</xdr:col>
      <xdr:colOff>9525</xdr:colOff>
      <xdr:row>37</xdr:row>
      <xdr:rowOff>38100</xdr:rowOff>
    </xdr:to>
    <xdr:cxnSp macro="">
      <xdr:nvCxnSpPr>
        <xdr:cNvPr id="12" name="Straight Arrow Connector 11">
          <a:extLst>
            <a:ext uri="{FF2B5EF4-FFF2-40B4-BE49-F238E27FC236}">
              <a16:creationId xmlns:a16="http://schemas.microsoft.com/office/drawing/2014/main" id="{EF3E86BF-F226-4ED9-9A2D-99D54723D5C4}"/>
            </a:ext>
          </a:extLst>
        </xdr:cNvPr>
        <xdr:cNvCxnSpPr/>
      </xdr:nvCxnSpPr>
      <xdr:spPr>
        <a:xfrm>
          <a:off x="1158875" y="6181725"/>
          <a:ext cx="619125" cy="3381375"/>
        </a:xfrm>
        <a:prstGeom prst="straightConnector1">
          <a:avLst/>
        </a:prstGeom>
        <a:ln w="38100">
          <a:solidFill>
            <a:srgbClr val="00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95250</xdr:colOff>
      <xdr:row>38</xdr:row>
      <xdr:rowOff>9526</xdr:rowOff>
    </xdr:from>
    <xdr:to>
      <xdr:col>6</xdr:col>
      <xdr:colOff>19050</xdr:colOff>
      <xdr:row>50</xdr:row>
      <xdr:rowOff>209550</xdr:rowOff>
    </xdr:to>
    <xdr:cxnSp macro="">
      <xdr:nvCxnSpPr>
        <xdr:cNvPr id="13" name="Straight Arrow Connector 12">
          <a:extLst>
            <a:ext uri="{FF2B5EF4-FFF2-40B4-BE49-F238E27FC236}">
              <a16:creationId xmlns:a16="http://schemas.microsoft.com/office/drawing/2014/main" id="{5C992EA7-9529-475A-9E30-E65C02F64017}"/>
            </a:ext>
          </a:extLst>
        </xdr:cNvPr>
        <xdr:cNvCxnSpPr/>
      </xdr:nvCxnSpPr>
      <xdr:spPr>
        <a:xfrm flipV="1">
          <a:off x="1095375" y="9769476"/>
          <a:ext cx="695325" cy="3089274"/>
        </a:xfrm>
        <a:prstGeom prst="straightConnector1">
          <a:avLst/>
        </a:prstGeom>
        <a:ln w="38100">
          <a:solidFill>
            <a:srgbClr val="00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66675</xdr:colOff>
      <xdr:row>136</xdr:row>
      <xdr:rowOff>114299</xdr:rowOff>
    </xdr:from>
    <xdr:to>
      <xdr:col>55</xdr:col>
      <xdr:colOff>142875</xdr:colOff>
      <xdr:row>138</xdr:row>
      <xdr:rowOff>142874</xdr:rowOff>
    </xdr:to>
    <xdr:sp macro="" textlink="">
      <xdr:nvSpPr>
        <xdr:cNvPr id="14" name="Cylinder 13">
          <a:extLst>
            <a:ext uri="{FF2B5EF4-FFF2-40B4-BE49-F238E27FC236}">
              <a16:creationId xmlns:a16="http://schemas.microsoft.com/office/drawing/2014/main" id="{41D772DB-1A57-4841-9E89-4CD431A376F2}"/>
            </a:ext>
          </a:extLst>
        </xdr:cNvPr>
        <xdr:cNvSpPr/>
      </xdr:nvSpPr>
      <xdr:spPr>
        <a:xfrm rot="5400000">
          <a:off x="13435013" y="31272161"/>
          <a:ext cx="508000" cy="847725"/>
        </a:xfrm>
        <a:prstGeom prst="ca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152401</xdr:colOff>
      <xdr:row>124</xdr:row>
      <xdr:rowOff>19050</xdr:rowOff>
    </xdr:from>
    <xdr:to>
      <xdr:col>10</xdr:col>
      <xdr:colOff>1</xdr:colOff>
      <xdr:row>133</xdr:row>
      <xdr:rowOff>123825</xdr:rowOff>
    </xdr:to>
    <xdr:sp macro="" textlink="">
      <xdr:nvSpPr>
        <xdr:cNvPr id="15" name="Cube 14">
          <a:extLst>
            <a:ext uri="{FF2B5EF4-FFF2-40B4-BE49-F238E27FC236}">
              <a16:creationId xmlns:a16="http://schemas.microsoft.com/office/drawing/2014/main" id="{867B5C33-1D38-4D2A-B827-E6D728B49F80}"/>
            </a:ext>
          </a:extLst>
        </xdr:cNvPr>
        <xdr:cNvSpPr/>
      </xdr:nvSpPr>
      <xdr:spPr>
        <a:xfrm>
          <a:off x="1409701" y="28917900"/>
          <a:ext cx="1390650" cy="1873250"/>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104775</xdr:colOff>
      <xdr:row>129</xdr:row>
      <xdr:rowOff>47625</xdr:rowOff>
    </xdr:from>
    <xdr:to>
      <xdr:col>22</xdr:col>
      <xdr:colOff>228601</xdr:colOff>
      <xdr:row>135</xdr:row>
      <xdr:rowOff>76200</xdr:rowOff>
    </xdr:to>
    <xdr:sp macro="" textlink="">
      <xdr:nvSpPr>
        <xdr:cNvPr id="16" name="Cube 15">
          <a:extLst>
            <a:ext uri="{FF2B5EF4-FFF2-40B4-BE49-F238E27FC236}">
              <a16:creationId xmlns:a16="http://schemas.microsoft.com/office/drawing/2014/main" id="{9A090CAD-109A-4A72-A97F-55F5FBD9E0CD}"/>
            </a:ext>
          </a:extLst>
        </xdr:cNvPr>
        <xdr:cNvSpPr/>
      </xdr:nvSpPr>
      <xdr:spPr>
        <a:xfrm>
          <a:off x="4997450" y="29905325"/>
          <a:ext cx="1079501" cy="1260475"/>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215900</xdr:colOff>
      <xdr:row>121</xdr:row>
      <xdr:rowOff>158750</xdr:rowOff>
    </xdr:from>
    <xdr:to>
      <xdr:col>6</xdr:col>
      <xdr:colOff>57150</xdr:colOff>
      <xdr:row>128</xdr:row>
      <xdr:rowOff>152400</xdr:rowOff>
    </xdr:to>
    <xdr:grpSp>
      <xdr:nvGrpSpPr>
        <xdr:cNvPr id="17" name="Group 16">
          <a:extLst>
            <a:ext uri="{FF2B5EF4-FFF2-40B4-BE49-F238E27FC236}">
              <a16:creationId xmlns:a16="http://schemas.microsoft.com/office/drawing/2014/main" id="{8893C5B1-D3B8-416B-AB51-55572634B704}"/>
            </a:ext>
          </a:extLst>
        </xdr:cNvPr>
        <xdr:cNvGrpSpPr/>
      </xdr:nvGrpSpPr>
      <xdr:grpSpPr>
        <a:xfrm>
          <a:off x="215900" y="28619450"/>
          <a:ext cx="1527175" cy="1527175"/>
          <a:chOff x="190500" y="26917650"/>
          <a:chExt cx="1381125" cy="1304925"/>
        </a:xfrm>
      </xdr:grpSpPr>
      <xdr:sp macro="" textlink="">
        <xdr:nvSpPr>
          <xdr:cNvPr id="18" name="Arc 17">
            <a:extLst>
              <a:ext uri="{FF2B5EF4-FFF2-40B4-BE49-F238E27FC236}">
                <a16:creationId xmlns:a16="http://schemas.microsoft.com/office/drawing/2014/main" id="{DB149BEE-0B9C-DDC9-7879-640E7B97C650}"/>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9" name="Arc 18">
            <a:extLst>
              <a:ext uri="{FF2B5EF4-FFF2-40B4-BE49-F238E27FC236}">
                <a16:creationId xmlns:a16="http://schemas.microsoft.com/office/drawing/2014/main" id="{5063371E-65C8-A6EE-445B-A5DC6BE431EA}"/>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0" name="Arc 19">
            <a:extLst>
              <a:ext uri="{FF2B5EF4-FFF2-40B4-BE49-F238E27FC236}">
                <a16:creationId xmlns:a16="http://schemas.microsoft.com/office/drawing/2014/main" id="{12A1FD61-5588-6108-8A65-97A84A0366D8}"/>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14</xdr:col>
      <xdr:colOff>101600</xdr:colOff>
      <xdr:row>126</xdr:row>
      <xdr:rowOff>82550</xdr:rowOff>
    </xdr:from>
    <xdr:to>
      <xdr:col>19</xdr:col>
      <xdr:colOff>133350</xdr:colOff>
      <xdr:row>133</xdr:row>
      <xdr:rowOff>120650</xdr:rowOff>
    </xdr:to>
    <xdr:grpSp>
      <xdr:nvGrpSpPr>
        <xdr:cNvPr id="21" name="Group 20">
          <a:extLst>
            <a:ext uri="{FF2B5EF4-FFF2-40B4-BE49-F238E27FC236}">
              <a16:creationId xmlns:a16="http://schemas.microsoft.com/office/drawing/2014/main" id="{584A76DB-20D0-4333-907C-8D0EB9FABBE5}"/>
            </a:ext>
          </a:extLst>
        </xdr:cNvPr>
        <xdr:cNvGrpSpPr/>
      </xdr:nvGrpSpPr>
      <xdr:grpSpPr>
        <a:xfrm>
          <a:off x="3692525" y="29648150"/>
          <a:ext cx="1289050" cy="1495425"/>
          <a:chOff x="190500" y="26917650"/>
          <a:chExt cx="1381125" cy="1304925"/>
        </a:xfrm>
      </xdr:grpSpPr>
      <xdr:sp macro="" textlink="">
        <xdr:nvSpPr>
          <xdr:cNvPr id="22" name="Arc 21">
            <a:extLst>
              <a:ext uri="{FF2B5EF4-FFF2-40B4-BE49-F238E27FC236}">
                <a16:creationId xmlns:a16="http://schemas.microsoft.com/office/drawing/2014/main" id="{7A7AE1F3-6E3E-F7B9-F97B-B8485F69A95C}"/>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3" name="Arc 22">
            <a:extLst>
              <a:ext uri="{FF2B5EF4-FFF2-40B4-BE49-F238E27FC236}">
                <a16:creationId xmlns:a16="http://schemas.microsoft.com/office/drawing/2014/main" id="{E9EEEDBD-1FEF-73F9-9C8B-72522BD5A96D}"/>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4" name="Arc 23">
            <a:extLst>
              <a:ext uri="{FF2B5EF4-FFF2-40B4-BE49-F238E27FC236}">
                <a16:creationId xmlns:a16="http://schemas.microsoft.com/office/drawing/2014/main" id="{9FE044CB-08A4-8621-AD1D-2E7B77228186}"/>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9</xdr:col>
      <xdr:colOff>209550</xdr:colOff>
      <xdr:row>126</xdr:row>
      <xdr:rowOff>57150</xdr:rowOff>
    </xdr:from>
    <xdr:to>
      <xdr:col>14</xdr:col>
      <xdr:colOff>276225</xdr:colOff>
      <xdr:row>126</xdr:row>
      <xdr:rowOff>57150</xdr:rowOff>
    </xdr:to>
    <xdr:cxnSp macro="">
      <xdr:nvCxnSpPr>
        <xdr:cNvPr id="25" name="Straight Connector 24">
          <a:extLst>
            <a:ext uri="{FF2B5EF4-FFF2-40B4-BE49-F238E27FC236}">
              <a16:creationId xmlns:a16="http://schemas.microsoft.com/office/drawing/2014/main" id="{76CD6E44-A122-4297-8FEA-846C3DE5A805}"/>
            </a:ext>
          </a:extLst>
        </xdr:cNvPr>
        <xdr:cNvCxnSpPr/>
      </xdr:nvCxnSpPr>
      <xdr:spPr>
        <a:xfrm>
          <a:off x="2752725" y="29317950"/>
          <a:ext cx="13493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66675</xdr:colOff>
      <xdr:row>126</xdr:row>
      <xdr:rowOff>161925</xdr:rowOff>
    </xdr:from>
    <xdr:to>
      <xdr:col>15</xdr:col>
      <xdr:colOff>9525</xdr:colOff>
      <xdr:row>126</xdr:row>
      <xdr:rowOff>161925</xdr:rowOff>
    </xdr:to>
    <xdr:cxnSp macro="">
      <xdr:nvCxnSpPr>
        <xdr:cNvPr id="26" name="Straight Connector 25">
          <a:extLst>
            <a:ext uri="{FF2B5EF4-FFF2-40B4-BE49-F238E27FC236}">
              <a16:creationId xmlns:a16="http://schemas.microsoft.com/office/drawing/2014/main" id="{281978D1-AD28-4D03-8336-4761C90191B7}"/>
            </a:ext>
          </a:extLst>
        </xdr:cNvPr>
        <xdr:cNvCxnSpPr/>
      </xdr:nvCxnSpPr>
      <xdr:spPr>
        <a:xfrm>
          <a:off x="2606675" y="29419550"/>
          <a:ext cx="1504950"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127</xdr:row>
      <xdr:rowOff>85725</xdr:rowOff>
    </xdr:from>
    <xdr:to>
      <xdr:col>15</xdr:col>
      <xdr:colOff>19050</xdr:colOff>
      <xdr:row>127</xdr:row>
      <xdr:rowOff>95250</xdr:rowOff>
    </xdr:to>
    <xdr:cxnSp macro="">
      <xdr:nvCxnSpPr>
        <xdr:cNvPr id="27" name="Straight Connector 26">
          <a:extLst>
            <a:ext uri="{FF2B5EF4-FFF2-40B4-BE49-F238E27FC236}">
              <a16:creationId xmlns:a16="http://schemas.microsoft.com/office/drawing/2014/main" id="{657BF5E0-37D8-4B7E-BF58-F1D5551B6A3D}"/>
            </a:ext>
          </a:extLst>
        </xdr:cNvPr>
        <xdr:cNvCxnSpPr/>
      </xdr:nvCxnSpPr>
      <xdr:spPr>
        <a:xfrm>
          <a:off x="2495550" y="29524325"/>
          <a:ext cx="1628775" cy="1270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31749</xdr:colOff>
      <xdr:row>125</xdr:row>
      <xdr:rowOff>95249</xdr:rowOff>
    </xdr:from>
    <xdr:to>
      <xdr:col>33</xdr:col>
      <xdr:colOff>101600</xdr:colOff>
      <xdr:row>133</xdr:row>
      <xdr:rowOff>38100</xdr:rowOff>
    </xdr:to>
    <xdr:grpSp>
      <xdr:nvGrpSpPr>
        <xdr:cNvPr id="28" name="Group 27">
          <a:extLst>
            <a:ext uri="{FF2B5EF4-FFF2-40B4-BE49-F238E27FC236}">
              <a16:creationId xmlns:a16="http://schemas.microsoft.com/office/drawing/2014/main" id="{0BBF92F1-BA98-438E-BAF7-4E899252CDA9}"/>
            </a:ext>
          </a:extLst>
        </xdr:cNvPr>
        <xdr:cNvGrpSpPr/>
      </xdr:nvGrpSpPr>
      <xdr:grpSpPr>
        <a:xfrm>
          <a:off x="6251574" y="29470349"/>
          <a:ext cx="1898651" cy="1590676"/>
          <a:chOff x="6305549" y="27765374"/>
          <a:chExt cx="2057401" cy="1390651"/>
        </a:xfrm>
      </xdr:grpSpPr>
      <xdr:sp macro="" textlink="">
        <xdr:nvSpPr>
          <xdr:cNvPr id="29" name="Cube 28">
            <a:extLst>
              <a:ext uri="{FF2B5EF4-FFF2-40B4-BE49-F238E27FC236}">
                <a16:creationId xmlns:a16="http://schemas.microsoft.com/office/drawing/2014/main" id="{7CDA0FA3-D800-FBEE-A286-B1E0634D069A}"/>
              </a:ext>
            </a:extLst>
          </xdr:cNvPr>
          <xdr:cNvSpPr/>
        </xdr:nvSpPr>
        <xdr:spPr>
          <a:xfrm>
            <a:off x="6305549" y="27765374"/>
            <a:ext cx="2057401" cy="1362075"/>
          </a:xfrm>
          <a:prstGeom prst="cube">
            <a:avLst>
              <a:gd name="adj" fmla="val 141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Rectangle: Beveled 29">
            <a:extLst>
              <a:ext uri="{FF2B5EF4-FFF2-40B4-BE49-F238E27FC236}">
                <a16:creationId xmlns:a16="http://schemas.microsoft.com/office/drawing/2014/main" id="{CA15AE11-A84A-FF6B-83C2-745BADBEA464}"/>
              </a:ext>
            </a:extLst>
          </xdr:cNvPr>
          <xdr:cNvSpPr/>
        </xdr:nvSpPr>
        <xdr:spPr>
          <a:xfrm>
            <a:off x="6305550" y="27955875"/>
            <a:ext cx="552450" cy="742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Beveled 30">
            <a:extLst>
              <a:ext uri="{FF2B5EF4-FFF2-40B4-BE49-F238E27FC236}">
                <a16:creationId xmlns:a16="http://schemas.microsoft.com/office/drawing/2014/main" id="{16055497-47CE-CCEF-2D33-FD72491951BD}"/>
              </a:ext>
            </a:extLst>
          </xdr:cNvPr>
          <xdr:cNvSpPr/>
        </xdr:nvSpPr>
        <xdr:spPr>
          <a:xfrm>
            <a:off x="6858000" y="27946350"/>
            <a:ext cx="552450" cy="742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Rectangle: Beveled 31">
            <a:extLst>
              <a:ext uri="{FF2B5EF4-FFF2-40B4-BE49-F238E27FC236}">
                <a16:creationId xmlns:a16="http://schemas.microsoft.com/office/drawing/2014/main" id="{6E0894B5-73E5-05D8-48C7-3D7769D5E4BF}"/>
              </a:ext>
            </a:extLst>
          </xdr:cNvPr>
          <xdr:cNvSpPr/>
        </xdr:nvSpPr>
        <xdr:spPr>
          <a:xfrm>
            <a:off x="6305550" y="28689300"/>
            <a:ext cx="552450" cy="4667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Rectangle: Beveled 32">
            <a:extLst>
              <a:ext uri="{FF2B5EF4-FFF2-40B4-BE49-F238E27FC236}">
                <a16:creationId xmlns:a16="http://schemas.microsoft.com/office/drawing/2014/main" id="{37F3EB5C-2895-94F8-A249-B8411A84234F}"/>
              </a:ext>
            </a:extLst>
          </xdr:cNvPr>
          <xdr:cNvSpPr/>
        </xdr:nvSpPr>
        <xdr:spPr>
          <a:xfrm>
            <a:off x="6867525" y="28679775"/>
            <a:ext cx="552450" cy="4667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Rectangle: Beveled 33">
            <a:extLst>
              <a:ext uri="{FF2B5EF4-FFF2-40B4-BE49-F238E27FC236}">
                <a16:creationId xmlns:a16="http://schemas.microsoft.com/office/drawing/2014/main" id="{476D064D-8275-24CD-072C-8AAED1E7217F}"/>
              </a:ext>
            </a:extLst>
          </xdr:cNvPr>
          <xdr:cNvSpPr/>
        </xdr:nvSpPr>
        <xdr:spPr>
          <a:xfrm>
            <a:off x="7410450" y="2796540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Rectangle: Beveled 34">
            <a:extLst>
              <a:ext uri="{FF2B5EF4-FFF2-40B4-BE49-F238E27FC236}">
                <a16:creationId xmlns:a16="http://schemas.microsoft.com/office/drawing/2014/main" id="{2B985514-F03B-BC96-A634-8C2E75E10217}"/>
              </a:ext>
            </a:extLst>
          </xdr:cNvPr>
          <xdr:cNvSpPr/>
        </xdr:nvSpPr>
        <xdr:spPr>
          <a:xfrm>
            <a:off x="7772400" y="2796540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6" name="Rectangle: Beveled 35">
            <a:extLst>
              <a:ext uri="{FF2B5EF4-FFF2-40B4-BE49-F238E27FC236}">
                <a16:creationId xmlns:a16="http://schemas.microsoft.com/office/drawing/2014/main" id="{630F8A30-6EF9-0E02-D6F2-24967C8E28B0}"/>
              </a:ext>
            </a:extLst>
          </xdr:cNvPr>
          <xdr:cNvSpPr/>
        </xdr:nvSpPr>
        <xdr:spPr>
          <a:xfrm>
            <a:off x="7419975" y="2840355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7" name="Rectangle: Beveled 36">
            <a:extLst>
              <a:ext uri="{FF2B5EF4-FFF2-40B4-BE49-F238E27FC236}">
                <a16:creationId xmlns:a16="http://schemas.microsoft.com/office/drawing/2014/main" id="{B25438F0-8C01-7E67-9F50-B13DE6D5CA50}"/>
              </a:ext>
            </a:extLst>
          </xdr:cNvPr>
          <xdr:cNvSpPr/>
        </xdr:nvSpPr>
        <xdr:spPr>
          <a:xfrm>
            <a:off x="7772400" y="2840355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20</xdr:col>
      <xdr:colOff>171718</xdr:colOff>
      <xdr:row>123</xdr:row>
      <xdr:rowOff>126103</xdr:rowOff>
    </xdr:from>
    <xdr:to>
      <xdr:col>27</xdr:col>
      <xdr:colOff>126677</xdr:colOff>
      <xdr:row>131</xdr:row>
      <xdr:rowOff>37061</xdr:rowOff>
    </xdr:to>
    <xdr:grpSp>
      <xdr:nvGrpSpPr>
        <xdr:cNvPr id="38" name="Group 37">
          <a:extLst>
            <a:ext uri="{FF2B5EF4-FFF2-40B4-BE49-F238E27FC236}">
              <a16:creationId xmlns:a16="http://schemas.microsoft.com/office/drawing/2014/main" id="{FFE4F13B-A279-411E-8B70-2890EE059C6E}"/>
            </a:ext>
          </a:extLst>
        </xdr:cNvPr>
        <xdr:cNvGrpSpPr/>
      </xdr:nvGrpSpPr>
      <xdr:grpSpPr>
        <a:xfrm rot="14176850">
          <a:off x="5284831" y="29083915"/>
          <a:ext cx="1482583" cy="1555159"/>
          <a:chOff x="228601" y="26917650"/>
          <a:chExt cx="1343024" cy="1202839"/>
        </a:xfrm>
      </xdr:grpSpPr>
      <xdr:sp macro="" textlink="">
        <xdr:nvSpPr>
          <xdr:cNvPr id="39" name="Arc 38">
            <a:extLst>
              <a:ext uri="{FF2B5EF4-FFF2-40B4-BE49-F238E27FC236}">
                <a16:creationId xmlns:a16="http://schemas.microsoft.com/office/drawing/2014/main" id="{3C5A7EA6-0207-8512-49CE-F426B93D81C9}"/>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0" name="Arc 39">
            <a:extLst>
              <a:ext uri="{FF2B5EF4-FFF2-40B4-BE49-F238E27FC236}">
                <a16:creationId xmlns:a16="http://schemas.microsoft.com/office/drawing/2014/main" id="{643652FC-DA65-51D8-6EA7-78F0A65D7452}"/>
              </a:ext>
            </a:extLst>
          </xdr:cNvPr>
          <xdr:cNvSpPr/>
        </xdr:nvSpPr>
        <xdr:spPr>
          <a:xfrm>
            <a:off x="314326" y="26989509"/>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1" name="Arc 40">
            <a:extLst>
              <a:ext uri="{FF2B5EF4-FFF2-40B4-BE49-F238E27FC236}">
                <a16:creationId xmlns:a16="http://schemas.microsoft.com/office/drawing/2014/main" id="{7759DA04-7117-3000-CD6B-5FC2756B0460}"/>
              </a:ext>
            </a:extLst>
          </xdr:cNvPr>
          <xdr:cNvSpPr/>
        </xdr:nvSpPr>
        <xdr:spPr>
          <a:xfrm>
            <a:off x="228601" y="27053689"/>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31</xdr:col>
      <xdr:colOff>82551</xdr:colOff>
      <xdr:row>123</xdr:row>
      <xdr:rowOff>31748</xdr:rowOff>
    </xdr:from>
    <xdr:to>
      <xdr:col>35</xdr:col>
      <xdr:colOff>57150</xdr:colOff>
      <xdr:row>127</xdr:row>
      <xdr:rowOff>165098</xdr:rowOff>
    </xdr:to>
    <xdr:grpSp>
      <xdr:nvGrpSpPr>
        <xdr:cNvPr id="42" name="Group 41">
          <a:extLst>
            <a:ext uri="{FF2B5EF4-FFF2-40B4-BE49-F238E27FC236}">
              <a16:creationId xmlns:a16="http://schemas.microsoft.com/office/drawing/2014/main" id="{F6D0949E-4D00-4E15-92E3-4328E60BB7FF}"/>
            </a:ext>
          </a:extLst>
        </xdr:cNvPr>
        <xdr:cNvGrpSpPr/>
      </xdr:nvGrpSpPr>
      <xdr:grpSpPr>
        <a:xfrm rot="15098765">
          <a:off x="7670801" y="29029023"/>
          <a:ext cx="895350" cy="888999"/>
          <a:chOff x="190500" y="26917650"/>
          <a:chExt cx="1381125" cy="1304925"/>
        </a:xfrm>
      </xdr:grpSpPr>
      <xdr:sp macro="" textlink="">
        <xdr:nvSpPr>
          <xdr:cNvPr id="43" name="Arc 42">
            <a:extLst>
              <a:ext uri="{FF2B5EF4-FFF2-40B4-BE49-F238E27FC236}">
                <a16:creationId xmlns:a16="http://schemas.microsoft.com/office/drawing/2014/main" id="{C8A70B34-822A-EA8D-0182-C934032D8EC0}"/>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4" name="Arc 43">
            <a:extLst>
              <a:ext uri="{FF2B5EF4-FFF2-40B4-BE49-F238E27FC236}">
                <a16:creationId xmlns:a16="http://schemas.microsoft.com/office/drawing/2014/main" id="{44D9C97F-0664-91D2-179D-C174EECAD46E}"/>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5" name="Arc 44">
            <a:extLst>
              <a:ext uri="{FF2B5EF4-FFF2-40B4-BE49-F238E27FC236}">
                <a16:creationId xmlns:a16="http://schemas.microsoft.com/office/drawing/2014/main" id="{D5A4BF99-BADA-75AF-ED6B-44410D702EF9}"/>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29</xdr:col>
      <xdr:colOff>152402</xdr:colOff>
      <xdr:row>123</xdr:row>
      <xdr:rowOff>19049</xdr:rowOff>
    </xdr:from>
    <xdr:to>
      <xdr:col>33</xdr:col>
      <xdr:colOff>120651</xdr:colOff>
      <xdr:row>127</xdr:row>
      <xdr:rowOff>152399</xdr:rowOff>
    </xdr:to>
    <xdr:grpSp>
      <xdr:nvGrpSpPr>
        <xdr:cNvPr id="46" name="Group 45">
          <a:extLst>
            <a:ext uri="{FF2B5EF4-FFF2-40B4-BE49-F238E27FC236}">
              <a16:creationId xmlns:a16="http://schemas.microsoft.com/office/drawing/2014/main" id="{6836B0B3-25F7-4CB3-A012-EE7E6738A852}"/>
            </a:ext>
          </a:extLst>
        </xdr:cNvPr>
        <xdr:cNvGrpSpPr/>
      </xdr:nvGrpSpPr>
      <xdr:grpSpPr>
        <a:xfrm rot="15098765">
          <a:off x="7280277" y="29019499"/>
          <a:ext cx="895350" cy="882649"/>
          <a:chOff x="190500" y="26917650"/>
          <a:chExt cx="1381125" cy="1304925"/>
        </a:xfrm>
      </xdr:grpSpPr>
      <xdr:sp macro="" textlink="">
        <xdr:nvSpPr>
          <xdr:cNvPr id="47" name="Arc 46">
            <a:extLst>
              <a:ext uri="{FF2B5EF4-FFF2-40B4-BE49-F238E27FC236}">
                <a16:creationId xmlns:a16="http://schemas.microsoft.com/office/drawing/2014/main" id="{19F42DB3-38AC-AAAE-2F86-83A6FA4A4B53}"/>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8" name="Arc 47">
            <a:extLst>
              <a:ext uri="{FF2B5EF4-FFF2-40B4-BE49-F238E27FC236}">
                <a16:creationId xmlns:a16="http://schemas.microsoft.com/office/drawing/2014/main" id="{C135F6C6-4AAE-1D6A-2237-4551BFA8B30C}"/>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9" name="Arc 48">
            <a:extLst>
              <a:ext uri="{FF2B5EF4-FFF2-40B4-BE49-F238E27FC236}">
                <a16:creationId xmlns:a16="http://schemas.microsoft.com/office/drawing/2014/main" id="{F76CED9F-BA92-4061-6931-C98224308874}"/>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22</xdr:col>
      <xdr:colOff>196851</xdr:colOff>
      <xdr:row>123</xdr:row>
      <xdr:rowOff>82550</xdr:rowOff>
    </xdr:from>
    <xdr:to>
      <xdr:col>26</xdr:col>
      <xdr:colOff>63501</xdr:colOff>
      <xdr:row>128</xdr:row>
      <xdr:rowOff>146049</xdr:rowOff>
    </xdr:to>
    <xdr:grpSp>
      <xdr:nvGrpSpPr>
        <xdr:cNvPr id="50" name="Group 49">
          <a:extLst>
            <a:ext uri="{FF2B5EF4-FFF2-40B4-BE49-F238E27FC236}">
              <a16:creationId xmlns:a16="http://schemas.microsoft.com/office/drawing/2014/main" id="{204D99B5-DCB2-4E62-A73E-EFBF02110FB9}"/>
            </a:ext>
          </a:extLst>
        </xdr:cNvPr>
        <xdr:cNvGrpSpPr/>
      </xdr:nvGrpSpPr>
      <xdr:grpSpPr>
        <a:xfrm>
          <a:off x="5730876" y="29076650"/>
          <a:ext cx="781050" cy="1063624"/>
          <a:chOff x="190500" y="26917650"/>
          <a:chExt cx="1381125" cy="1304925"/>
        </a:xfrm>
      </xdr:grpSpPr>
      <xdr:sp macro="" textlink="">
        <xdr:nvSpPr>
          <xdr:cNvPr id="51" name="Arc 50">
            <a:extLst>
              <a:ext uri="{FF2B5EF4-FFF2-40B4-BE49-F238E27FC236}">
                <a16:creationId xmlns:a16="http://schemas.microsoft.com/office/drawing/2014/main" id="{47F9F178-B08E-4CBF-E9D3-27A11BD05E5A}"/>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2" name="Arc 51">
            <a:extLst>
              <a:ext uri="{FF2B5EF4-FFF2-40B4-BE49-F238E27FC236}">
                <a16:creationId xmlns:a16="http://schemas.microsoft.com/office/drawing/2014/main" id="{23D58934-4D6F-1423-CAD3-C8055DE2BC3C}"/>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3" name="Arc 52">
            <a:extLst>
              <a:ext uri="{FF2B5EF4-FFF2-40B4-BE49-F238E27FC236}">
                <a16:creationId xmlns:a16="http://schemas.microsoft.com/office/drawing/2014/main" id="{16F264D0-6D8A-25D4-70B1-1CB34B8C143E}"/>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21</xdr:col>
      <xdr:colOff>238125</xdr:colOff>
      <xdr:row>122</xdr:row>
      <xdr:rowOff>171450</xdr:rowOff>
    </xdr:from>
    <xdr:to>
      <xdr:col>24</xdr:col>
      <xdr:colOff>228600</xdr:colOff>
      <xdr:row>124</xdr:row>
      <xdr:rowOff>180974</xdr:rowOff>
    </xdr:to>
    <xdr:sp macro="" textlink="">
      <xdr:nvSpPr>
        <xdr:cNvPr id="54" name="Cube 53">
          <a:extLst>
            <a:ext uri="{FF2B5EF4-FFF2-40B4-BE49-F238E27FC236}">
              <a16:creationId xmlns:a16="http://schemas.microsoft.com/office/drawing/2014/main" id="{89E6EFA3-4941-4533-B833-B92ABB30304A}"/>
            </a:ext>
          </a:extLst>
        </xdr:cNvPr>
        <xdr:cNvSpPr/>
      </xdr:nvSpPr>
      <xdr:spPr>
        <a:xfrm>
          <a:off x="5845175" y="28622625"/>
          <a:ext cx="708025" cy="460374"/>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38102</xdr:colOff>
      <xdr:row>123</xdr:row>
      <xdr:rowOff>12698</xdr:rowOff>
    </xdr:from>
    <xdr:to>
      <xdr:col>32</xdr:col>
      <xdr:colOff>6351</xdr:colOff>
      <xdr:row>127</xdr:row>
      <xdr:rowOff>146048</xdr:rowOff>
    </xdr:to>
    <xdr:grpSp>
      <xdr:nvGrpSpPr>
        <xdr:cNvPr id="55" name="Group 54">
          <a:extLst>
            <a:ext uri="{FF2B5EF4-FFF2-40B4-BE49-F238E27FC236}">
              <a16:creationId xmlns:a16="http://schemas.microsoft.com/office/drawing/2014/main" id="{8629F28B-03BF-4ECB-A299-54B2B060D5C0}"/>
            </a:ext>
          </a:extLst>
        </xdr:cNvPr>
        <xdr:cNvGrpSpPr/>
      </xdr:nvGrpSpPr>
      <xdr:grpSpPr>
        <a:xfrm rot="15098765">
          <a:off x="6937377" y="29013148"/>
          <a:ext cx="895350" cy="882649"/>
          <a:chOff x="190500" y="26917650"/>
          <a:chExt cx="1381125" cy="1304925"/>
        </a:xfrm>
      </xdr:grpSpPr>
      <xdr:sp macro="" textlink="">
        <xdr:nvSpPr>
          <xdr:cNvPr id="56" name="Arc 55">
            <a:extLst>
              <a:ext uri="{FF2B5EF4-FFF2-40B4-BE49-F238E27FC236}">
                <a16:creationId xmlns:a16="http://schemas.microsoft.com/office/drawing/2014/main" id="{25F99947-5741-71F2-BB43-4D8CF72BA13D}"/>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7" name="Arc 56">
            <a:extLst>
              <a:ext uri="{FF2B5EF4-FFF2-40B4-BE49-F238E27FC236}">
                <a16:creationId xmlns:a16="http://schemas.microsoft.com/office/drawing/2014/main" id="{B17763F8-09F3-8729-06E1-C66259D59F8E}"/>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8" name="Arc 57">
            <a:extLst>
              <a:ext uri="{FF2B5EF4-FFF2-40B4-BE49-F238E27FC236}">
                <a16:creationId xmlns:a16="http://schemas.microsoft.com/office/drawing/2014/main" id="{B55AABDE-5D7E-8E09-1FC0-1A42AD6796F6}"/>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38</xdr:col>
      <xdr:colOff>114300</xdr:colOff>
      <xdr:row>125</xdr:row>
      <xdr:rowOff>57151</xdr:rowOff>
    </xdr:from>
    <xdr:to>
      <xdr:col>52</xdr:col>
      <xdr:colOff>0</xdr:colOff>
      <xdr:row>126</xdr:row>
      <xdr:rowOff>123826</xdr:rowOff>
    </xdr:to>
    <xdr:sp macro="" textlink="">
      <xdr:nvSpPr>
        <xdr:cNvPr id="59" name="Cube 58">
          <a:extLst>
            <a:ext uri="{FF2B5EF4-FFF2-40B4-BE49-F238E27FC236}">
              <a16:creationId xmlns:a16="http://schemas.microsoft.com/office/drawing/2014/main" id="{946D0BF8-5A22-4DC0-953E-B10EFB0C24EC}"/>
            </a:ext>
          </a:extLst>
        </xdr:cNvPr>
        <xdr:cNvSpPr/>
      </xdr:nvSpPr>
      <xdr:spPr>
        <a:xfrm>
          <a:off x="9772650" y="29136976"/>
          <a:ext cx="3429000" cy="244475"/>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41</xdr:col>
      <xdr:colOff>69849</xdr:colOff>
      <xdr:row>132</xdr:row>
      <xdr:rowOff>19051</xdr:rowOff>
    </xdr:from>
    <xdr:to>
      <xdr:col>45</xdr:col>
      <xdr:colOff>273050</xdr:colOff>
      <xdr:row>138</xdr:row>
      <xdr:rowOff>171451</xdr:rowOff>
    </xdr:to>
    <xdr:grpSp>
      <xdr:nvGrpSpPr>
        <xdr:cNvPr id="60" name="Group 59">
          <a:extLst>
            <a:ext uri="{FF2B5EF4-FFF2-40B4-BE49-F238E27FC236}">
              <a16:creationId xmlns:a16="http://schemas.microsoft.com/office/drawing/2014/main" id="{23910677-9CDD-4E1C-B507-F12D53824661}"/>
            </a:ext>
          </a:extLst>
        </xdr:cNvPr>
        <xdr:cNvGrpSpPr/>
      </xdr:nvGrpSpPr>
      <xdr:grpSpPr>
        <a:xfrm>
          <a:off x="9947274" y="30851476"/>
          <a:ext cx="1146176" cy="1485900"/>
          <a:chOff x="6305549" y="27765374"/>
          <a:chExt cx="2057401" cy="1390651"/>
        </a:xfrm>
      </xdr:grpSpPr>
      <xdr:sp macro="" textlink="">
        <xdr:nvSpPr>
          <xdr:cNvPr id="61" name="Cube 60">
            <a:extLst>
              <a:ext uri="{FF2B5EF4-FFF2-40B4-BE49-F238E27FC236}">
                <a16:creationId xmlns:a16="http://schemas.microsoft.com/office/drawing/2014/main" id="{F8AA8B5D-1CA9-09CE-F045-2B12FFA173FC}"/>
              </a:ext>
            </a:extLst>
          </xdr:cNvPr>
          <xdr:cNvSpPr/>
        </xdr:nvSpPr>
        <xdr:spPr>
          <a:xfrm>
            <a:off x="6305549" y="27765374"/>
            <a:ext cx="2057401" cy="1362075"/>
          </a:xfrm>
          <a:prstGeom prst="cube">
            <a:avLst>
              <a:gd name="adj" fmla="val 141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2" name="Rectangle: Beveled 61">
            <a:extLst>
              <a:ext uri="{FF2B5EF4-FFF2-40B4-BE49-F238E27FC236}">
                <a16:creationId xmlns:a16="http://schemas.microsoft.com/office/drawing/2014/main" id="{88AC89B8-A61A-05EA-5816-7C516B1A65EA}"/>
              </a:ext>
            </a:extLst>
          </xdr:cNvPr>
          <xdr:cNvSpPr/>
        </xdr:nvSpPr>
        <xdr:spPr>
          <a:xfrm>
            <a:off x="6305550" y="27955875"/>
            <a:ext cx="552450" cy="742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3" name="Rectangle: Beveled 62">
            <a:extLst>
              <a:ext uri="{FF2B5EF4-FFF2-40B4-BE49-F238E27FC236}">
                <a16:creationId xmlns:a16="http://schemas.microsoft.com/office/drawing/2014/main" id="{F49D111E-B2F3-7490-B50B-24C90EFFB69D}"/>
              </a:ext>
            </a:extLst>
          </xdr:cNvPr>
          <xdr:cNvSpPr/>
        </xdr:nvSpPr>
        <xdr:spPr>
          <a:xfrm>
            <a:off x="6858000" y="27946350"/>
            <a:ext cx="552450" cy="74295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4" name="Rectangle: Beveled 63">
            <a:extLst>
              <a:ext uri="{FF2B5EF4-FFF2-40B4-BE49-F238E27FC236}">
                <a16:creationId xmlns:a16="http://schemas.microsoft.com/office/drawing/2014/main" id="{4E88831C-8FDF-D2D3-5AB8-26CE5D3738E4}"/>
              </a:ext>
            </a:extLst>
          </xdr:cNvPr>
          <xdr:cNvSpPr/>
        </xdr:nvSpPr>
        <xdr:spPr>
          <a:xfrm>
            <a:off x="6305550" y="28689300"/>
            <a:ext cx="552450" cy="4667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5" name="Rectangle: Beveled 64">
            <a:extLst>
              <a:ext uri="{FF2B5EF4-FFF2-40B4-BE49-F238E27FC236}">
                <a16:creationId xmlns:a16="http://schemas.microsoft.com/office/drawing/2014/main" id="{F4B6F930-B934-07D6-49F0-67EBBDE73BB8}"/>
              </a:ext>
            </a:extLst>
          </xdr:cNvPr>
          <xdr:cNvSpPr/>
        </xdr:nvSpPr>
        <xdr:spPr>
          <a:xfrm>
            <a:off x="6867525" y="28679775"/>
            <a:ext cx="552450" cy="4667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6" name="Rectangle: Beveled 65">
            <a:extLst>
              <a:ext uri="{FF2B5EF4-FFF2-40B4-BE49-F238E27FC236}">
                <a16:creationId xmlns:a16="http://schemas.microsoft.com/office/drawing/2014/main" id="{3CD87E3E-EF76-5BBB-3CBD-551BF36DE56F}"/>
              </a:ext>
            </a:extLst>
          </xdr:cNvPr>
          <xdr:cNvSpPr/>
        </xdr:nvSpPr>
        <xdr:spPr>
          <a:xfrm>
            <a:off x="7410450" y="2796540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7" name="Rectangle: Beveled 66">
            <a:extLst>
              <a:ext uri="{FF2B5EF4-FFF2-40B4-BE49-F238E27FC236}">
                <a16:creationId xmlns:a16="http://schemas.microsoft.com/office/drawing/2014/main" id="{BB5BAB0D-3472-DEFD-3CFC-3B0DBAEF64D6}"/>
              </a:ext>
            </a:extLst>
          </xdr:cNvPr>
          <xdr:cNvSpPr/>
        </xdr:nvSpPr>
        <xdr:spPr>
          <a:xfrm>
            <a:off x="7772400" y="2796540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8" name="Rectangle: Beveled 67">
            <a:extLst>
              <a:ext uri="{FF2B5EF4-FFF2-40B4-BE49-F238E27FC236}">
                <a16:creationId xmlns:a16="http://schemas.microsoft.com/office/drawing/2014/main" id="{F394CD6A-2D46-6327-7C00-6DCAA86AE8BB}"/>
              </a:ext>
            </a:extLst>
          </xdr:cNvPr>
          <xdr:cNvSpPr/>
        </xdr:nvSpPr>
        <xdr:spPr>
          <a:xfrm>
            <a:off x="7419975" y="2840355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9" name="Rectangle: Beveled 68">
            <a:extLst>
              <a:ext uri="{FF2B5EF4-FFF2-40B4-BE49-F238E27FC236}">
                <a16:creationId xmlns:a16="http://schemas.microsoft.com/office/drawing/2014/main" id="{558C09B5-6BCA-8172-370D-7E677C5F8F6C}"/>
              </a:ext>
            </a:extLst>
          </xdr:cNvPr>
          <xdr:cNvSpPr/>
        </xdr:nvSpPr>
        <xdr:spPr>
          <a:xfrm>
            <a:off x="7772400" y="28403550"/>
            <a:ext cx="361950" cy="4286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11</xdr:col>
      <xdr:colOff>95251</xdr:colOff>
      <xdr:row>127</xdr:row>
      <xdr:rowOff>57150</xdr:rowOff>
    </xdr:from>
    <xdr:to>
      <xdr:col>13</xdr:col>
      <xdr:colOff>133351</xdr:colOff>
      <xdr:row>130</xdr:row>
      <xdr:rowOff>38100</xdr:rowOff>
    </xdr:to>
    <xdr:sp macro="" textlink="">
      <xdr:nvSpPr>
        <xdr:cNvPr id="70" name="Circle: Hollow 69">
          <a:extLst>
            <a:ext uri="{FF2B5EF4-FFF2-40B4-BE49-F238E27FC236}">
              <a16:creationId xmlns:a16="http://schemas.microsoft.com/office/drawing/2014/main" id="{FC1DD52A-89BF-4D28-9B16-B66C8AC5B475}"/>
            </a:ext>
          </a:extLst>
        </xdr:cNvPr>
        <xdr:cNvSpPr/>
      </xdr:nvSpPr>
      <xdr:spPr>
        <a:xfrm>
          <a:off x="3152776" y="29498925"/>
          <a:ext cx="552450" cy="581025"/>
        </a:xfrm>
        <a:prstGeom prst="donut">
          <a:avLst>
            <a:gd name="adj" fmla="val 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M</a:t>
          </a:r>
        </a:p>
      </xdr:txBody>
    </xdr:sp>
    <xdr:clientData/>
  </xdr:twoCellAnchor>
  <xdr:twoCellAnchor>
    <xdr:from>
      <xdr:col>25</xdr:col>
      <xdr:colOff>133351</xdr:colOff>
      <xdr:row>122</xdr:row>
      <xdr:rowOff>19050</xdr:rowOff>
    </xdr:from>
    <xdr:to>
      <xdr:col>27</xdr:col>
      <xdr:colOff>190501</xdr:colOff>
      <xdr:row>124</xdr:row>
      <xdr:rowOff>95250</xdr:rowOff>
    </xdr:to>
    <xdr:sp macro="" textlink="">
      <xdr:nvSpPr>
        <xdr:cNvPr id="71" name="Circle: Hollow 70">
          <a:extLst>
            <a:ext uri="{FF2B5EF4-FFF2-40B4-BE49-F238E27FC236}">
              <a16:creationId xmlns:a16="http://schemas.microsoft.com/office/drawing/2014/main" id="{0249E17E-E60F-4F89-949E-062EE05D3C76}"/>
            </a:ext>
          </a:extLst>
        </xdr:cNvPr>
        <xdr:cNvSpPr/>
      </xdr:nvSpPr>
      <xdr:spPr>
        <a:xfrm>
          <a:off x="6696076" y="28470225"/>
          <a:ext cx="533400" cy="523875"/>
        </a:xfrm>
        <a:prstGeom prst="donut">
          <a:avLst>
            <a:gd name="adj" fmla="val 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M</a:t>
          </a:r>
        </a:p>
      </xdr:txBody>
    </xdr:sp>
    <xdr:clientData/>
  </xdr:twoCellAnchor>
  <xdr:twoCellAnchor>
    <xdr:from>
      <xdr:col>44</xdr:col>
      <xdr:colOff>215901</xdr:colOff>
      <xdr:row>129</xdr:row>
      <xdr:rowOff>88898</xdr:rowOff>
    </xdr:from>
    <xdr:to>
      <xdr:col>48</xdr:col>
      <xdr:colOff>63500</xdr:colOff>
      <xdr:row>134</xdr:row>
      <xdr:rowOff>38098</xdr:rowOff>
    </xdr:to>
    <xdr:grpSp>
      <xdr:nvGrpSpPr>
        <xdr:cNvPr id="72" name="Group 71">
          <a:extLst>
            <a:ext uri="{FF2B5EF4-FFF2-40B4-BE49-F238E27FC236}">
              <a16:creationId xmlns:a16="http://schemas.microsoft.com/office/drawing/2014/main" id="{96688FEF-6EA0-4C79-BEF8-80A8757FD237}"/>
            </a:ext>
          </a:extLst>
        </xdr:cNvPr>
        <xdr:cNvGrpSpPr/>
      </xdr:nvGrpSpPr>
      <xdr:grpSpPr>
        <a:xfrm rot="15098765">
          <a:off x="10733088" y="30319661"/>
          <a:ext cx="977900" cy="885824"/>
          <a:chOff x="190500" y="26917650"/>
          <a:chExt cx="1381125" cy="1304925"/>
        </a:xfrm>
      </xdr:grpSpPr>
      <xdr:sp macro="" textlink="">
        <xdr:nvSpPr>
          <xdr:cNvPr id="73" name="Arc 72">
            <a:extLst>
              <a:ext uri="{FF2B5EF4-FFF2-40B4-BE49-F238E27FC236}">
                <a16:creationId xmlns:a16="http://schemas.microsoft.com/office/drawing/2014/main" id="{C8EB33E7-6B65-F785-DAF9-9CECE029209B}"/>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4" name="Arc 73">
            <a:extLst>
              <a:ext uri="{FF2B5EF4-FFF2-40B4-BE49-F238E27FC236}">
                <a16:creationId xmlns:a16="http://schemas.microsoft.com/office/drawing/2014/main" id="{793AC542-8283-52E3-578E-3D0E1B438B29}"/>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5" name="Arc 74">
            <a:extLst>
              <a:ext uri="{FF2B5EF4-FFF2-40B4-BE49-F238E27FC236}">
                <a16:creationId xmlns:a16="http://schemas.microsoft.com/office/drawing/2014/main" id="{37A2D3A0-6A56-DCE7-55F8-ECE2B8CCF3A3}"/>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38</xdr:col>
      <xdr:colOff>228600</xdr:colOff>
      <xdr:row>129</xdr:row>
      <xdr:rowOff>107948</xdr:rowOff>
    </xdr:from>
    <xdr:to>
      <xdr:col>42</xdr:col>
      <xdr:colOff>95250</xdr:colOff>
      <xdr:row>134</xdr:row>
      <xdr:rowOff>165097</xdr:rowOff>
    </xdr:to>
    <xdr:grpSp>
      <xdr:nvGrpSpPr>
        <xdr:cNvPr id="76" name="Group 75">
          <a:extLst>
            <a:ext uri="{FF2B5EF4-FFF2-40B4-BE49-F238E27FC236}">
              <a16:creationId xmlns:a16="http://schemas.microsoft.com/office/drawing/2014/main" id="{93B8DBD9-4021-4FBB-9B95-9B3DEEF83EB2}"/>
            </a:ext>
          </a:extLst>
        </xdr:cNvPr>
        <xdr:cNvGrpSpPr/>
      </xdr:nvGrpSpPr>
      <xdr:grpSpPr>
        <a:xfrm rot="818158">
          <a:off x="9420225" y="30292673"/>
          <a:ext cx="781050" cy="1085849"/>
          <a:chOff x="190500" y="26917650"/>
          <a:chExt cx="1381125" cy="1304925"/>
        </a:xfrm>
      </xdr:grpSpPr>
      <xdr:sp macro="" textlink="">
        <xdr:nvSpPr>
          <xdr:cNvPr id="77" name="Arc 76">
            <a:extLst>
              <a:ext uri="{FF2B5EF4-FFF2-40B4-BE49-F238E27FC236}">
                <a16:creationId xmlns:a16="http://schemas.microsoft.com/office/drawing/2014/main" id="{0C63605C-A6DE-97B1-B72D-2E489194E6ED}"/>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8" name="Arc 77">
            <a:extLst>
              <a:ext uri="{FF2B5EF4-FFF2-40B4-BE49-F238E27FC236}">
                <a16:creationId xmlns:a16="http://schemas.microsoft.com/office/drawing/2014/main" id="{4BEC23B7-3759-589D-802B-68C4895B91FE}"/>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9" name="Arc 78">
            <a:extLst>
              <a:ext uri="{FF2B5EF4-FFF2-40B4-BE49-F238E27FC236}">
                <a16:creationId xmlns:a16="http://schemas.microsoft.com/office/drawing/2014/main" id="{B7955A4E-47F0-DFD3-4680-CBD3B9B4B787}"/>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51</xdr:col>
      <xdr:colOff>57150</xdr:colOff>
      <xdr:row>126</xdr:row>
      <xdr:rowOff>142875</xdr:rowOff>
    </xdr:from>
    <xdr:to>
      <xdr:col>51</xdr:col>
      <xdr:colOff>69059</xdr:colOff>
      <xdr:row>133</xdr:row>
      <xdr:rowOff>38099</xdr:rowOff>
    </xdr:to>
    <xdr:cxnSp macro="">
      <xdr:nvCxnSpPr>
        <xdr:cNvPr id="80" name="Straight Connector 79">
          <a:extLst>
            <a:ext uri="{FF2B5EF4-FFF2-40B4-BE49-F238E27FC236}">
              <a16:creationId xmlns:a16="http://schemas.microsoft.com/office/drawing/2014/main" id="{5B4151C7-5279-49B8-9099-9F11F089880D}"/>
            </a:ext>
          </a:extLst>
        </xdr:cNvPr>
        <xdr:cNvCxnSpPr>
          <a:stCxn id="89" idx="5"/>
        </xdr:cNvCxnSpPr>
      </xdr:nvCxnSpPr>
      <xdr:spPr>
        <a:xfrm flipH="1" flipV="1">
          <a:off x="13001625" y="29400500"/>
          <a:ext cx="8734" cy="1308099"/>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66675</xdr:colOff>
      <xdr:row>123</xdr:row>
      <xdr:rowOff>123824</xdr:rowOff>
    </xdr:from>
    <xdr:to>
      <xdr:col>39</xdr:col>
      <xdr:colOff>28574</xdr:colOff>
      <xdr:row>127</xdr:row>
      <xdr:rowOff>133349</xdr:rowOff>
    </xdr:to>
    <xdr:sp macro="" textlink="">
      <xdr:nvSpPr>
        <xdr:cNvPr id="81" name="Cube 80">
          <a:extLst>
            <a:ext uri="{FF2B5EF4-FFF2-40B4-BE49-F238E27FC236}">
              <a16:creationId xmlns:a16="http://schemas.microsoft.com/office/drawing/2014/main" id="{5915E432-6BB6-4783-B533-AEB0D4C74C5A}"/>
            </a:ext>
          </a:extLst>
        </xdr:cNvPr>
        <xdr:cNvSpPr/>
      </xdr:nvSpPr>
      <xdr:spPr>
        <a:xfrm rot="16200000">
          <a:off x="9340850" y="28987749"/>
          <a:ext cx="730250" cy="444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38696</xdr:colOff>
      <xdr:row>122</xdr:row>
      <xdr:rowOff>114380</xdr:rowOff>
    </xdr:from>
    <xdr:to>
      <xdr:col>38</xdr:col>
      <xdr:colOff>106023</xdr:colOff>
      <xdr:row>126</xdr:row>
      <xdr:rowOff>8312</xdr:rowOff>
    </xdr:to>
    <xdr:grpSp>
      <xdr:nvGrpSpPr>
        <xdr:cNvPr id="82" name="Group 81">
          <a:extLst>
            <a:ext uri="{FF2B5EF4-FFF2-40B4-BE49-F238E27FC236}">
              <a16:creationId xmlns:a16="http://schemas.microsoft.com/office/drawing/2014/main" id="{F292D638-5674-4563-849A-F0A791E5256E}"/>
            </a:ext>
          </a:extLst>
        </xdr:cNvPr>
        <xdr:cNvGrpSpPr/>
      </xdr:nvGrpSpPr>
      <xdr:grpSpPr>
        <a:xfrm rot="520990">
          <a:off x="8773121" y="28841780"/>
          <a:ext cx="524527" cy="732132"/>
          <a:chOff x="190500" y="26917650"/>
          <a:chExt cx="1381125" cy="1304925"/>
        </a:xfrm>
      </xdr:grpSpPr>
      <xdr:sp macro="" textlink="">
        <xdr:nvSpPr>
          <xdr:cNvPr id="83" name="Arc 82">
            <a:extLst>
              <a:ext uri="{FF2B5EF4-FFF2-40B4-BE49-F238E27FC236}">
                <a16:creationId xmlns:a16="http://schemas.microsoft.com/office/drawing/2014/main" id="{7F67AD08-4CDA-2354-17B0-15353B81C3D8}"/>
              </a:ext>
            </a:extLst>
          </xdr:cNvPr>
          <xdr:cNvSpPr/>
        </xdr:nvSpPr>
        <xdr:spPr>
          <a:xfrm>
            <a:off x="381000" y="26917650"/>
            <a:ext cx="1190625" cy="1114425"/>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4" name="Arc 83">
            <a:extLst>
              <a:ext uri="{FF2B5EF4-FFF2-40B4-BE49-F238E27FC236}">
                <a16:creationId xmlns:a16="http://schemas.microsoft.com/office/drawing/2014/main" id="{C886C1E6-B9B6-64DE-3404-BCFEE8765A43}"/>
              </a:ext>
            </a:extLst>
          </xdr:cNvPr>
          <xdr:cNvSpPr/>
        </xdr:nvSpPr>
        <xdr:spPr>
          <a:xfrm>
            <a:off x="304800" y="2706052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85" name="Arc 84">
            <a:extLst>
              <a:ext uri="{FF2B5EF4-FFF2-40B4-BE49-F238E27FC236}">
                <a16:creationId xmlns:a16="http://schemas.microsoft.com/office/drawing/2014/main" id="{594A62F6-9BF7-0349-DEE7-8275020B35A8}"/>
              </a:ext>
            </a:extLst>
          </xdr:cNvPr>
          <xdr:cNvSpPr/>
        </xdr:nvSpPr>
        <xdr:spPr>
          <a:xfrm>
            <a:off x="190500" y="27155775"/>
            <a:ext cx="1190625" cy="1066800"/>
          </a:xfrm>
          <a:prstGeom prst="arc">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49</xdr:col>
      <xdr:colOff>238125</xdr:colOff>
      <xdr:row>126</xdr:row>
      <xdr:rowOff>123825</xdr:rowOff>
    </xdr:from>
    <xdr:to>
      <xdr:col>49</xdr:col>
      <xdr:colOff>247650</xdr:colOff>
      <xdr:row>130</xdr:row>
      <xdr:rowOff>123825</xdr:rowOff>
    </xdr:to>
    <xdr:cxnSp macro="">
      <xdr:nvCxnSpPr>
        <xdr:cNvPr id="86" name="Straight Connector 85">
          <a:extLst>
            <a:ext uri="{FF2B5EF4-FFF2-40B4-BE49-F238E27FC236}">
              <a16:creationId xmlns:a16="http://schemas.microsoft.com/office/drawing/2014/main" id="{310966DD-DD9A-437B-B684-9447D195DAAA}"/>
            </a:ext>
          </a:extLst>
        </xdr:cNvPr>
        <xdr:cNvCxnSpPr/>
      </xdr:nvCxnSpPr>
      <xdr:spPr>
        <a:xfrm flipH="1" flipV="1">
          <a:off x="12665075" y="29381450"/>
          <a:ext cx="12700" cy="78105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209550</xdr:colOff>
      <xdr:row>126</xdr:row>
      <xdr:rowOff>104775</xdr:rowOff>
    </xdr:from>
    <xdr:to>
      <xdr:col>48</xdr:col>
      <xdr:colOff>219075</xdr:colOff>
      <xdr:row>130</xdr:row>
      <xdr:rowOff>104775</xdr:rowOff>
    </xdr:to>
    <xdr:cxnSp macro="">
      <xdr:nvCxnSpPr>
        <xdr:cNvPr id="87" name="Straight Connector 86">
          <a:extLst>
            <a:ext uri="{FF2B5EF4-FFF2-40B4-BE49-F238E27FC236}">
              <a16:creationId xmlns:a16="http://schemas.microsoft.com/office/drawing/2014/main" id="{AE2DC625-316B-4B56-925C-1A8E8DEC9AE6}"/>
            </a:ext>
          </a:extLst>
        </xdr:cNvPr>
        <xdr:cNvCxnSpPr/>
      </xdr:nvCxnSpPr>
      <xdr:spPr>
        <a:xfrm flipH="1" flipV="1">
          <a:off x="12382500" y="29362400"/>
          <a:ext cx="6350" cy="78105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104775</xdr:colOff>
      <xdr:row>126</xdr:row>
      <xdr:rowOff>104775</xdr:rowOff>
    </xdr:from>
    <xdr:to>
      <xdr:col>47</xdr:col>
      <xdr:colOff>114300</xdr:colOff>
      <xdr:row>130</xdr:row>
      <xdr:rowOff>104775</xdr:rowOff>
    </xdr:to>
    <xdr:cxnSp macro="">
      <xdr:nvCxnSpPr>
        <xdr:cNvPr id="88" name="Straight Connector 87">
          <a:extLst>
            <a:ext uri="{FF2B5EF4-FFF2-40B4-BE49-F238E27FC236}">
              <a16:creationId xmlns:a16="http://schemas.microsoft.com/office/drawing/2014/main" id="{DEAD18ED-E6B0-4F90-85DB-2DD0B77E4B8D}"/>
            </a:ext>
          </a:extLst>
        </xdr:cNvPr>
        <xdr:cNvCxnSpPr/>
      </xdr:nvCxnSpPr>
      <xdr:spPr>
        <a:xfrm flipH="1" flipV="1">
          <a:off x="12017375" y="29362400"/>
          <a:ext cx="12700" cy="78105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219077</xdr:colOff>
      <xdr:row>133</xdr:row>
      <xdr:rowOff>38099</xdr:rowOff>
    </xdr:from>
    <xdr:to>
      <xdr:col>51</xdr:col>
      <xdr:colOff>247651</xdr:colOff>
      <xdr:row>135</xdr:row>
      <xdr:rowOff>57148</xdr:rowOff>
    </xdr:to>
    <xdr:sp macro="" textlink="">
      <xdr:nvSpPr>
        <xdr:cNvPr id="89" name="Cube 88">
          <a:extLst>
            <a:ext uri="{FF2B5EF4-FFF2-40B4-BE49-F238E27FC236}">
              <a16:creationId xmlns:a16="http://schemas.microsoft.com/office/drawing/2014/main" id="{BE8CDADE-9130-4E9B-B9E4-B312C8A3C222}"/>
            </a:ext>
          </a:extLst>
        </xdr:cNvPr>
        <xdr:cNvSpPr/>
      </xdr:nvSpPr>
      <xdr:spPr>
        <a:xfrm rot="16200000">
          <a:off x="12828589" y="30783212"/>
          <a:ext cx="438149" cy="288924"/>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51</xdr:col>
      <xdr:colOff>66675</xdr:colOff>
      <xdr:row>134</xdr:row>
      <xdr:rowOff>219075</xdr:rowOff>
    </xdr:from>
    <xdr:to>
      <xdr:col>53</xdr:col>
      <xdr:colOff>39373</xdr:colOff>
      <xdr:row>137</xdr:row>
      <xdr:rowOff>115803</xdr:rowOff>
    </xdr:to>
    <xdr:sp macro="" textlink="">
      <xdr:nvSpPr>
        <xdr:cNvPr id="90" name="Arc 89">
          <a:extLst>
            <a:ext uri="{FF2B5EF4-FFF2-40B4-BE49-F238E27FC236}">
              <a16:creationId xmlns:a16="http://schemas.microsoft.com/office/drawing/2014/main" id="{6731923E-AACC-485F-85B9-EC2BD8B5535D}"/>
            </a:ext>
          </a:extLst>
        </xdr:cNvPr>
        <xdr:cNvSpPr/>
      </xdr:nvSpPr>
      <xdr:spPr>
        <a:xfrm rot="21116175">
          <a:off x="13007975" y="31067375"/>
          <a:ext cx="490223" cy="614278"/>
        </a:xfrm>
        <a:prstGeom prst="arc">
          <a:avLst>
            <a:gd name="adj1" fmla="val 16200000"/>
            <a:gd name="adj2" fmla="val 1251701"/>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49</xdr:col>
      <xdr:colOff>85725</xdr:colOff>
      <xdr:row>134</xdr:row>
      <xdr:rowOff>209550</xdr:rowOff>
    </xdr:from>
    <xdr:to>
      <xdr:col>51</xdr:col>
      <xdr:colOff>123825</xdr:colOff>
      <xdr:row>137</xdr:row>
      <xdr:rowOff>47625</xdr:rowOff>
    </xdr:to>
    <xdr:sp macro="" textlink="">
      <xdr:nvSpPr>
        <xdr:cNvPr id="91" name="Circle: Hollow 90">
          <a:extLst>
            <a:ext uri="{FF2B5EF4-FFF2-40B4-BE49-F238E27FC236}">
              <a16:creationId xmlns:a16="http://schemas.microsoft.com/office/drawing/2014/main" id="{81B27DA9-B718-4C05-B961-B28DF45FA28F}"/>
            </a:ext>
          </a:extLst>
        </xdr:cNvPr>
        <xdr:cNvSpPr/>
      </xdr:nvSpPr>
      <xdr:spPr>
        <a:xfrm>
          <a:off x="12512675" y="31061025"/>
          <a:ext cx="552450" cy="549275"/>
        </a:xfrm>
        <a:prstGeom prst="donut">
          <a:avLst>
            <a:gd name="adj" fmla="val 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M</a:t>
          </a:r>
        </a:p>
      </xdr:txBody>
    </xdr:sp>
    <xdr:clientData/>
  </xdr:twoCellAnchor>
  <xdr:twoCellAnchor>
    <xdr:from>
      <xdr:col>33</xdr:col>
      <xdr:colOff>152400</xdr:colOff>
      <xdr:row>127</xdr:row>
      <xdr:rowOff>161925</xdr:rowOff>
    </xdr:from>
    <xdr:to>
      <xdr:col>40</xdr:col>
      <xdr:colOff>95250</xdr:colOff>
      <xdr:row>130</xdr:row>
      <xdr:rowOff>19050</xdr:rowOff>
    </xdr:to>
    <xdr:cxnSp macro="">
      <xdr:nvCxnSpPr>
        <xdr:cNvPr id="92" name="Straight Arrow Connector 91">
          <a:extLst>
            <a:ext uri="{FF2B5EF4-FFF2-40B4-BE49-F238E27FC236}">
              <a16:creationId xmlns:a16="http://schemas.microsoft.com/office/drawing/2014/main" id="{09B8AEBA-C222-45B4-AAAE-F0C6EEFC2C36}"/>
            </a:ext>
          </a:extLst>
        </xdr:cNvPr>
        <xdr:cNvCxnSpPr/>
      </xdr:nvCxnSpPr>
      <xdr:spPr>
        <a:xfrm>
          <a:off x="8620125" y="29600525"/>
          <a:ext cx="1609725" cy="460375"/>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171450</xdr:colOff>
      <xdr:row>122</xdr:row>
      <xdr:rowOff>247650</xdr:rowOff>
    </xdr:from>
    <xdr:to>
      <xdr:col>36</xdr:col>
      <xdr:colOff>228600</xdr:colOff>
      <xdr:row>127</xdr:row>
      <xdr:rowOff>152400</xdr:rowOff>
    </xdr:to>
    <xdr:cxnSp macro="">
      <xdr:nvCxnSpPr>
        <xdr:cNvPr id="93" name="Straight Arrow Connector 92">
          <a:extLst>
            <a:ext uri="{FF2B5EF4-FFF2-40B4-BE49-F238E27FC236}">
              <a16:creationId xmlns:a16="http://schemas.microsoft.com/office/drawing/2014/main" id="{8DEC6A40-A734-49CA-A228-C78788301E74}"/>
            </a:ext>
          </a:extLst>
        </xdr:cNvPr>
        <xdr:cNvCxnSpPr/>
      </xdr:nvCxnSpPr>
      <xdr:spPr>
        <a:xfrm flipV="1">
          <a:off x="8639175" y="28698825"/>
          <a:ext cx="771525" cy="895350"/>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228600</xdr:colOff>
      <xdr:row>122</xdr:row>
      <xdr:rowOff>95250</xdr:rowOff>
    </xdr:from>
    <xdr:to>
      <xdr:col>41</xdr:col>
      <xdr:colOff>38100</xdr:colOff>
      <xdr:row>124</xdr:row>
      <xdr:rowOff>171450</xdr:rowOff>
    </xdr:to>
    <xdr:sp macro="" textlink="">
      <xdr:nvSpPr>
        <xdr:cNvPr id="94" name="Circle: Hollow 93">
          <a:extLst>
            <a:ext uri="{FF2B5EF4-FFF2-40B4-BE49-F238E27FC236}">
              <a16:creationId xmlns:a16="http://schemas.microsoft.com/office/drawing/2014/main" id="{6FBDF7F1-4949-4133-9FC6-46BF740EEB91}"/>
            </a:ext>
          </a:extLst>
        </xdr:cNvPr>
        <xdr:cNvSpPr/>
      </xdr:nvSpPr>
      <xdr:spPr>
        <a:xfrm>
          <a:off x="9886950" y="28546425"/>
          <a:ext cx="523875" cy="523875"/>
        </a:xfrm>
        <a:prstGeom prst="donut">
          <a:avLst>
            <a:gd name="adj" fmla="val 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M</a:t>
          </a:r>
        </a:p>
      </xdr:txBody>
    </xdr:sp>
    <xdr:clientData/>
  </xdr:twoCellAnchor>
  <xdr:twoCellAnchor>
    <xdr:from>
      <xdr:col>39</xdr:col>
      <xdr:colOff>28575</xdr:colOff>
      <xdr:row>131</xdr:row>
      <xdr:rowOff>123825</xdr:rowOff>
    </xdr:from>
    <xdr:to>
      <xdr:col>41</xdr:col>
      <xdr:colOff>85725</xdr:colOff>
      <xdr:row>134</xdr:row>
      <xdr:rowOff>104775</xdr:rowOff>
    </xdr:to>
    <xdr:sp macro="" textlink="">
      <xdr:nvSpPr>
        <xdr:cNvPr id="95" name="Circle: Hollow 94">
          <a:extLst>
            <a:ext uri="{FF2B5EF4-FFF2-40B4-BE49-F238E27FC236}">
              <a16:creationId xmlns:a16="http://schemas.microsoft.com/office/drawing/2014/main" id="{8C225CB0-34B0-46BC-BB19-C4696FAD23FB}"/>
            </a:ext>
          </a:extLst>
        </xdr:cNvPr>
        <xdr:cNvSpPr/>
      </xdr:nvSpPr>
      <xdr:spPr>
        <a:xfrm>
          <a:off x="9921875" y="30343475"/>
          <a:ext cx="533400" cy="609600"/>
        </a:xfrm>
        <a:prstGeom prst="donut">
          <a:avLst>
            <a:gd name="adj" fmla="val 719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chemeClr val="tx1"/>
              </a:solidFill>
            </a:rPr>
            <a:t>M</a:t>
          </a:r>
        </a:p>
      </xdr:txBody>
    </xdr:sp>
    <xdr:clientData/>
  </xdr:twoCellAnchor>
  <xdr:twoCellAnchor>
    <xdr:from>
      <xdr:col>1</xdr:col>
      <xdr:colOff>320675</xdr:colOff>
      <xdr:row>71</xdr:row>
      <xdr:rowOff>206375</xdr:rowOff>
    </xdr:from>
    <xdr:to>
      <xdr:col>4</xdr:col>
      <xdr:colOff>44450</xdr:colOff>
      <xdr:row>73</xdr:row>
      <xdr:rowOff>92075</xdr:rowOff>
    </xdr:to>
    <xdr:cxnSp macro="">
      <xdr:nvCxnSpPr>
        <xdr:cNvPr id="96" name="Straight Arrow Connector 95">
          <a:extLst>
            <a:ext uri="{FF2B5EF4-FFF2-40B4-BE49-F238E27FC236}">
              <a16:creationId xmlns:a16="http://schemas.microsoft.com/office/drawing/2014/main" id="{42AD285F-25E3-47C6-BAF1-31D245C4D148}"/>
            </a:ext>
          </a:extLst>
        </xdr:cNvPr>
        <xdr:cNvCxnSpPr/>
      </xdr:nvCxnSpPr>
      <xdr:spPr>
        <a:xfrm flipV="1">
          <a:off x="654050" y="17741900"/>
          <a:ext cx="647700" cy="3619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15875</xdr:colOff>
      <xdr:row>82</xdr:row>
      <xdr:rowOff>82550</xdr:rowOff>
    </xdr:from>
    <xdr:to>
      <xdr:col>6</xdr:col>
      <xdr:colOff>149225</xdr:colOff>
      <xdr:row>83</xdr:row>
      <xdr:rowOff>206375</xdr:rowOff>
    </xdr:to>
    <xdr:cxnSp macro="">
      <xdr:nvCxnSpPr>
        <xdr:cNvPr id="97" name="Straight Arrow Connector 96">
          <a:extLst>
            <a:ext uri="{FF2B5EF4-FFF2-40B4-BE49-F238E27FC236}">
              <a16:creationId xmlns:a16="http://schemas.microsoft.com/office/drawing/2014/main" id="{CE175187-ADB2-429D-9190-D1662429903B}"/>
            </a:ext>
          </a:extLst>
        </xdr:cNvPr>
        <xdr:cNvCxnSpPr/>
      </xdr:nvCxnSpPr>
      <xdr:spPr>
        <a:xfrm flipV="1">
          <a:off x="1273175" y="20237450"/>
          <a:ext cx="647700" cy="3619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571501</xdr:colOff>
      <xdr:row>100</xdr:row>
      <xdr:rowOff>57150</xdr:rowOff>
    </xdr:from>
    <xdr:to>
      <xdr:col>29</xdr:col>
      <xdr:colOff>369313</xdr:colOff>
      <xdr:row>105</xdr:row>
      <xdr:rowOff>105377</xdr:rowOff>
    </xdr:to>
    <xdr:sp macro="" textlink="">
      <xdr:nvSpPr>
        <xdr:cNvPr id="2" name="Right Arrow 470">
          <a:extLst>
            <a:ext uri="{FF2B5EF4-FFF2-40B4-BE49-F238E27FC236}">
              <a16:creationId xmlns:a16="http://schemas.microsoft.com/office/drawing/2014/main" id="{9067537A-B0B6-4DB7-940D-2A692DD7B363}"/>
            </a:ext>
          </a:extLst>
        </xdr:cNvPr>
        <xdr:cNvSpPr/>
      </xdr:nvSpPr>
      <xdr:spPr>
        <a:xfrm rot="5400000" flipH="1">
          <a:off x="17151556" y="23434470"/>
          <a:ext cx="978502" cy="553462"/>
        </a:xfrm>
        <a:prstGeom prst="rightArrow">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324455</xdr:colOff>
      <xdr:row>43</xdr:row>
      <xdr:rowOff>152434</xdr:rowOff>
    </xdr:from>
    <xdr:to>
      <xdr:col>19</xdr:col>
      <xdr:colOff>192692</xdr:colOff>
      <xdr:row>59</xdr:row>
      <xdr:rowOff>40237</xdr:rowOff>
    </xdr:to>
    <xdr:sp macro="" textlink="">
      <xdr:nvSpPr>
        <xdr:cNvPr id="3" name="Right Arrow 218">
          <a:extLst>
            <a:ext uri="{FF2B5EF4-FFF2-40B4-BE49-F238E27FC236}">
              <a16:creationId xmlns:a16="http://schemas.microsoft.com/office/drawing/2014/main" id="{842A4318-C2BD-4632-AE07-2B2FBFCC0473}"/>
            </a:ext>
          </a:extLst>
        </xdr:cNvPr>
        <xdr:cNvSpPr/>
      </xdr:nvSpPr>
      <xdr:spPr>
        <a:xfrm rot="4774760">
          <a:off x="9339609" y="13654380"/>
          <a:ext cx="2935803" cy="544512"/>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144850</xdr:colOff>
      <xdr:row>48</xdr:row>
      <xdr:rowOff>20015</xdr:rowOff>
    </xdr:from>
    <xdr:to>
      <xdr:col>26</xdr:col>
      <xdr:colOff>703563</xdr:colOff>
      <xdr:row>50</xdr:row>
      <xdr:rowOff>151157</xdr:rowOff>
    </xdr:to>
    <xdr:sp macro="" textlink="">
      <xdr:nvSpPr>
        <xdr:cNvPr id="4" name="Right Arrow 143">
          <a:extLst>
            <a:ext uri="{FF2B5EF4-FFF2-40B4-BE49-F238E27FC236}">
              <a16:creationId xmlns:a16="http://schemas.microsoft.com/office/drawing/2014/main" id="{4E0B8713-CBCC-4618-8C2E-4AE20952E04A}"/>
            </a:ext>
          </a:extLst>
        </xdr:cNvPr>
        <xdr:cNvSpPr/>
      </xdr:nvSpPr>
      <xdr:spPr>
        <a:xfrm rot="9531865">
          <a:off x="14819700" y="13278815"/>
          <a:ext cx="1171488" cy="512142"/>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48352</xdr:colOff>
      <xdr:row>23</xdr:row>
      <xdr:rowOff>170722</xdr:rowOff>
    </xdr:from>
    <xdr:to>
      <xdr:col>14</xdr:col>
      <xdr:colOff>361222</xdr:colOff>
      <xdr:row>27</xdr:row>
      <xdr:rowOff>37372</xdr:rowOff>
    </xdr:to>
    <xdr:sp macro="" textlink="">
      <xdr:nvSpPr>
        <xdr:cNvPr id="5" name="Right Arrow 203">
          <a:extLst>
            <a:ext uri="{FF2B5EF4-FFF2-40B4-BE49-F238E27FC236}">
              <a16:creationId xmlns:a16="http://schemas.microsoft.com/office/drawing/2014/main" id="{488700E0-F487-4061-A40B-5080EF7C9F76}"/>
            </a:ext>
          </a:extLst>
        </xdr:cNvPr>
        <xdr:cNvSpPr/>
      </xdr:nvSpPr>
      <xdr:spPr>
        <a:xfrm>
          <a:off x="6598377" y="8667022"/>
          <a:ext cx="1535245" cy="628650"/>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542233</xdr:colOff>
      <xdr:row>60</xdr:row>
      <xdr:rowOff>164205</xdr:rowOff>
    </xdr:from>
    <xdr:to>
      <xdr:col>27</xdr:col>
      <xdr:colOff>705622</xdr:colOff>
      <xdr:row>63</xdr:row>
      <xdr:rowOff>67447</xdr:rowOff>
    </xdr:to>
    <xdr:sp macro="" textlink="">
      <xdr:nvSpPr>
        <xdr:cNvPr id="6" name="Down Arrow 329">
          <a:extLst>
            <a:ext uri="{FF2B5EF4-FFF2-40B4-BE49-F238E27FC236}">
              <a16:creationId xmlns:a16="http://schemas.microsoft.com/office/drawing/2014/main" id="{9BD192EA-D6D5-4AE8-BEC8-F24CC8F2CB9A}"/>
            </a:ext>
          </a:extLst>
        </xdr:cNvPr>
        <xdr:cNvSpPr/>
      </xdr:nvSpPr>
      <xdr:spPr>
        <a:xfrm rot="16200000">
          <a:off x="16052007" y="15486856"/>
          <a:ext cx="474742" cy="912689"/>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245796</xdr:colOff>
      <xdr:row>107</xdr:row>
      <xdr:rowOff>142027</xdr:rowOff>
    </xdr:from>
    <xdr:to>
      <xdr:col>8</xdr:col>
      <xdr:colOff>228333</xdr:colOff>
      <xdr:row>112</xdr:row>
      <xdr:rowOff>152399</xdr:rowOff>
    </xdr:to>
    <xdr:sp macro="" textlink="">
      <xdr:nvSpPr>
        <xdr:cNvPr id="7" name="Right Arrow 208">
          <a:extLst>
            <a:ext uri="{FF2B5EF4-FFF2-40B4-BE49-F238E27FC236}">
              <a16:creationId xmlns:a16="http://schemas.microsoft.com/office/drawing/2014/main" id="{DE6AC692-7F38-44AC-83E3-35BE48FEF88E}"/>
            </a:ext>
          </a:extLst>
        </xdr:cNvPr>
        <xdr:cNvSpPr/>
      </xdr:nvSpPr>
      <xdr:spPr>
        <a:xfrm rot="16200000">
          <a:off x="3752954" y="24765369"/>
          <a:ext cx="912072" cy="592137"/>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115427</xdr:colOff>
      <xdr:row>84</xdr:row>
      <xdr:rowOff>94767</xdr:rowOff>
    </xdr:from>
    <xdr:to>
      <xdr:col>28</xdr:col>
      <xdr:colOff>265320</xdr:colOff>
      <xdr:row>87</xdr:row>
      <xdr:rowOff>102704</xdr:rowOff>
    </xdr:to>
    <xdr:sp macro="" textlink="">
      <xdr:nvSpPr>
        <xdr:cNvPr id="8" name="Right Arrow 228">
          <a:extLst>
            <a:ext uri="{FF2B5EF4-FFF2-40B4-BE49-F238E27FC236}">
              <a16:creationId xmlns:a16="http://schemas.microsoft.com/office/drawing/2014/main" id="{A9305AD8-9A12-4067-A368-88EE8640CF99}"/>
            </a:ext>
          </a:extLst>
        </xdr:cNvPr>
        <xdr:cNvSpPr/>
      </xdr:nvSpPr>
      <xdr:spPr>
        <a:xfrm rot="9810312">
          <a:off x="16155527" y="20211567"/>
          <a:ext cx="902368" cy="582612"/>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285483</xdr:colOff>
      <xdr:row>78</xdr:row>
      <xdr:rowOff>161078</xdr:rowOff>
    </xdr:from>
    <xdr:to>
      <xdr:col>29</xdr:col>
      <xdr:colOff>66408</xdr:colOff>
      <xdr:row>82</xdr:row>
      <xdr:rowOff>133396</xdr:rowOff>
    </xdr:to>
    <xdr:sp macro="" textlink="">
      <xdr:nvSpPr>
        <xdr:cNvPr id="9" name="Right Arrow 217">
          <a:extLst>
            <a:ext uri="{FF2B5EF4-FFF2-40B4-BE49-F238E27FC236}">
              <a16:creationId xmlns:a16="http://schemas.microsoft.com/office/drawing/2014/main" id="{52633FF7-086D-43A3-9ADC-309FFA460640}"/>
            </a:ext>
          </a:extLst>
        </xdr:cNvPr>
        <xdr:cNvSpPr/>
      </xdr:nvSpPr>
      <xdr:spPr>
        <a:xfrm rot="5400000">
          <a:off x="16980774" y="19235337"/>
          <a:ext cx="731143" cy="536575"/>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495003</xdr:colOff>
      <xdr:row>94</xdr:row>
      <xdr:rowOff>7806</xdr:rowOff>
    </xdr:from>
    <xdr:to>
      <xdr:col>18</xdr:col>
      <xdr:colOff>609189</xdr:colOff>
      <xdr:row>96</xdr:row>
      <xdr:rowOff>106310</xdr:rowOff>
    </xdr:to>
    <xdr:sp macro="" textlink="">
      <xdr:nvSpPr>
        <xdr:cNvPr id="10" name="Down Arrow 393">
          <a:extLst>
            <a:ext uri="{FF2B5EF4-FFF2-40B4-BE49-F238E27FC236}">
              <a16:creationId xmlns:a16="http://schemas.microsoft.com/office/drawing/2014/main" id="{2788C59C-EC7E-4B4F-A0FC-24884759D409}"/>
            </a:ext>
          </a:extLst>
        </xdr:cNvPr>
        <xdr:cNvSpPr/>
      </xdr:nvSpPr>
      <xdr:spPr>
        <a:xfrm rot="16826878">
          <a:off x="9611919" y="21297865"/>
          <a:ext cx="473154" cy="1942986"/>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407987</xdr:colOff>
      <xdr:row>97</xdr:row>
      <xdr:rowOff>103186</xdr:rowOff>
    </xdr:from>
    <xdr:to>
      <xdr:col>21</xdr:col>
      <xdr:colOff>236616</xdr:colOff>
      <xdr:row>101</xdr:row>
      <xdr:rowOff>171449</xdr:rowOff>
    </xdr:to>
    <xdr:sp macro="" textlink="">
      <xdr:nvSpPr>
        <xdr:cNvPr id="11" name="Down Arrow 392">
          <a:extLst>
            <a:ext uri="{FF2B5EF4-FFF2-40B4-BE49-F238E27FC236}">
              <a16:creationId xmlns:a16="http://schemas.microsoft.com/office/drawing/2014/main" id="{741C1556-3CDC-458A-9CAC-8F1A3EEEB9E9}"/>
            </a:ext>
          </a:extLst>
        </xdr:cNvPr>
        <xdr:cNvSpPr/>
      </xdr:nvSpPr>
      <xdr:spPr>
        <a:xfrm>
          <a:off x="11974512" y="22699661"/>
          <a:ext cx="504904" cy="827088"/>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74516</xdr:colOff>
      <xdr:row>90</xdr:row>
      <xdr:rowOff>114301</xdr:rowOff>
    </xdr:from>
    <xdr:to>
      <xdr:col>22</xdr:col>
      <xdr:colOff>554020</xdr:colOff>
      <xdr:row>95</xdr:row>
      <xdr:rowOff>121995</xdr:rowOff>
    </xdr:to>
    <xdr:sp macro="" textlink="">
      <xdr:nvSpPr>
        <xdr:cNvPr id="12" name="Down Arrow 391">
          <a:extLst>
            <a:ext uri="{FF2B5EF4-FFF2-40B4-BE49-F238E27FC236}">
              <a16:creationId xmlns:a16="http://schemas.microsoft.com/office/drawing/2014/main" id="{90D185F3-7DAA-4CE2-B3E8-78CE62E62760}"/>
            </a:ext>
          </a:extLst>
        </xdr:cNvPr>
        <xdr:cNvSpPr/>
      </xdr:nvSpPr>
      <xdr:spPr>
        <a:xfrm>
          <a:off x="12923741" y="21374101"/>
          <a:ext cx="479504" cy="963369"/>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647604</xdr:colOff>
      <xdr:row>48</xdr:row>
      <xdr:rowOff>131763</xdr:rowOff>
    </xdr:from>
    <xdr:to>
      <xdr:col>17</xdr:col>
      <xdr:colOff>523858</xdr:colOff>
      <xdr:row>54</xdr:row>
      <xdr:rowOff>133351</xdr:rowOff>
    </xdr:to>
    <xdr:sp macro="" textlink="">
      <xdr:nvSpPr>
        <xdr:cNvPr id="13" name="Down Arrow 390">
          <a:extLst>
            <a:ext uri="{FF2B5EF4-FFF2-40B4-BE49-F238E27FC236}">
              <a16:creationId xmlns:a16="http://schemas.microsoft.com/office/drawing/2014/main" id="{57160F6A-98A6-478E-9328-7C45CD14EC75}"/>
            </a:ext>
          </a:extLst>
        </xdr:cNvPr>
        <xdr:cNvSpPr/>
      </xdr:nvSpPr>
      <xdr:spPr>
        <a:xfrm>
          <a:off x="9601104" y="13390563"/>
          <a:ext cx="527129" cy="1144588"/>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579437</xdr:colOff>
      <xdr:row>43</xdr:row>
      <xdr:rowOff>68262</xdr:rowOff>
    </xdr:from>
    <xdr:to>
      <xdr:col>14</xdr:col>
      <xdr:colOff>411241</xdr:colOff>
      <xdr:row>47</xdr:row>
      <xdr:rowOff>188789</xdr:rowOff>
    </xdr:to>
    <xdr:sp macro="" textlink="">
      <xdr:nvSpPr>
        <xdr:cNvPr id="14" name="Down Arrow 389">
          <a:extLst>
            <a:ext uri="{FF2B5EF4-FFF2-40B4-BE49-F238E27FC236}">
              <a16:creationId xmlns:a16="http://schemas.microsoft.com/office/drawing/2014/main" id="{93EA1423-9705-4E3D-ADF3-AA38A547B8F8}"/>
            </a:ext>
          </a:extLst>
        </xdr:cNvPr>
        <xdr:cNvSpPr/>
      </xdr:nvSpPr>
      <xdr:spPr>
        <a:xfrm>
          <a:off x="7745412" y="12371387"/>
          <a:ext cx="435054" cy="885702"/>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23</xdr:col>
      <xdr:colOff>15874</xdr:colOff>
      <xdr:row>82</xdr:row>
      <xdr:rowOff>82550</xdr:rowOff>
    </xdr:from>
    <xdr:to>
      <xdr:col>23</xdr:col>
      <xdr:colOff>590549</xdr:colOff>
      <xdr:row>85</xdr:row>
      <xdr:rowOff>168943</xdr:rowOff>
    </xdr:to>
    <xdr:sp macro="" textlink="">
      <xdr:nvSpPr>
        <xdr:cNvPr id="15" name="Right Arrow 385">
          <a:extLst>
            <a:ext uri="{FF2B5EF4-FFF2-40B4-BE49-F238E27FC236}">
              <a16:creationId xmlns:a16="http://schemas.microsoft.com/office/drawing/2014/main" id="{C29FE01C-4CD2-4DB9-8103-07706C5B4129}"/>
            </a:ext>
          </a:extLst>
        </xdr:cNvPr>
        <xdr:cNvSpPr/>
      </xdr:nvSpPr>
      <xdr:spPr>
        <a:xfrm rot="5400000">
          <a:off x="13433090" y="19859959"/>
          <a:ext cx="654718" cy="577850"/>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58668</xdr:colOff>
      <xdr:row>73</xdr:row>
      <xdr:rowOff>57154</xdr:rowOff>
    </xdr:from>
    <xdr:to>
      <xdr:col>20</xdr:col>
      <xdr:colOff>629547</xdr:colOff>
      <xdr:row>78</xdr:row>
      <xdr:rowOff>104266</xdr:rowOff>
    </xdr:to>
    <xdr:sp macro="" textlink="">
      <xdr:nvSpPr>
        <xdr:cNvPr id="16" name="Right Arrow 384">
          <a:extLst>
            <a:ext uri="{FF2B5EF4-FFF2-40B4-BE49-F238E27FC236}">
              <a16:creationId xmlns:a16="http://schemas.microsoft.com/office/drawing/2014/main" id="{B6F3C8DF-EAA6-4163-81D4-9A9897D8F29D}"/>
            </a:ext>
          </a:extLst>
        </xdr:cNvPr>
        <xdr:cNvSpPr/>
      </xdr:nvSpPr>
      <xdr:spPr>
        <a:xfrm rot="5400000">
          <a:off x="11406064" y="18294408"/>
          <a:ext cx="1002787" cy="570879"/>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258051</xdr:colOff>
      <xdr:row>108</xdr:row>
      <xdr:rowOff>180983</xdr:rowOff>
    </xdr:from>
    <xdr:to>
      <xdr:col>16</xdr:col>
      <xdr:colOff>229476</xdr:colOff>
      <xdr:row>115</xdr:row>
      <xdr:rowOff>57152</xdr:rowOff>
    </xdr:to>
    <xdr:sp macro="" textlink="">
      <xdr:nvSpPr>
        <xdr:cNvPr id="17" name="Right Arrow 383">
          <a:extLst>
            <a:ext uri="{FF2B5EF4-FFF2-40B4-BE49-F238E27FC236}">
              <a16:creationId xmlns:a16="http://schemas.microsoft.com/office/drawing/2014/main" id="{A3840774-B975-4846-A9EF-FFC20661500C}"/>
            </a:ext>
          </a:extLst>
        </xdr:cNvPr>
        <xdr:cNvSpPr/>
      </xdr:nvSpPr>
      <xdr:spPr>
        <a:xfrm rot="5400000">
          <a:off x="8355891" y="25099968"/>
          <a:ext cx="1146169" cy="58420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474202</xdr:colOff>
      <xdr:row>92</xdr:row>
      <xdr:rowOff>124929</xdr:rowOff>
    </xdr:from>
    <xdr:to>
      <xdr:col>12</xdr:col>
      <xdr:colOff>247650</xdr:colOff>
      <xdr:row>95</xdr:row>
      <xdr:rowOff>123342</xdr:rowOff>
    </xdr:to>
    <xdr:sp macro="" textlink="">
      <xdr:nvSpPr>
        <xdr:cNvPr id="18" name="Right Arrow 381">
          <a:extLst>
            <a:ext uri="{FF2B5EF4-FFF2-40B4-BE49-F238E27FC236}">
              <a16:creationId xmlns:a16="http://schemas.microsoft.com/office/drawing/2014/main" id="{6FBB06BA-3895-4D5F-AE11-DAE51314EBE2}"/>
            </a:ext>
          </a:extLst>
        </xdr:cNvPr>
        <xdr:cNvSpPr/>
      </xdr:nvSpPr>
      <xdr:spPr>
        <a:xfrm>
          <a:off x="5808202" y="21762554"/>
          <a:ext cx="992648" cy="576263"/>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7673</xdr:colOff>
      <xdr:row>96</xdr:row>
      <xdr:rowOff>40429</xdr:rowOff>
    </xdr:from>
    <xdr:to>
      <xdr:col>4</xdr:col>
      <xdr:colOff>561710</xdr:colOff>
      <xdr:row>100</xdr:row>
      <xdr:rowOff>19097</xdr:rowOff>
    </xdr:to>
    <xdr:sp macro="" textlink="">
      <xdr:nvSpPr>
        <xdr:cNvPr id="19" name="Right Arrow 379">
          <a:extLst>
            <a:ext uri="{FF2B5EF4-FFF2-40B4-BE49-F238E27FC236}">
              <a16:creationId xmlns:a16="http://schemas.microsoft.com/office/drawing/2014/main" id="{8512304F-AA9F-45FC-BEAB-09FF4F9649F3}"/>
            </a:ext>
          </a:extLst>
        </xdr:cNvPr>
        <xdr:cNvSpPr/>
      </xdr:nvSpPr>
      <xdr:spPr>
        <a:xfrm rot="16200000">
          <a:off x="1755858" y="22536544"/>
          <a:ext cx="740668" cy="554037"/>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26</xdr:col>
      <xdr:colOff>325440</xdr:colOff>
      <xdr:row>119</xdr:row>
      <xdr:rowOff>142876</xdr:rowOff>
    </xdr:from>
    <xdr:to>
      <xdr:col>28</xdr:col>
      <xdr:colOff>87313</xdr:colOff>
      <xdr:row>122</xdr:row>
      <xdr:rowOff>152401</xdr:rowOff>
    </xdr:to>
    <xdr:sp macro="" textlink="">
      <xdr:nvSpPr>
        <xdr:cNvPr id="20" name="Right Arrow 372">
          <a:extLst>
            <a:ext uri="{FF2B5EF4-FFF2-40B4-BE49-F238E27FC236}">
              <a16:creationId xmlns:a16="http://schemas.microsoft.com/office/drawing/2014/main" id="{C62AED1A-C578-42EF-8621-1BB6F1ED4C5F}"/>
            </a:ext>
          </a:extLst>
        </xdr:cNvPr>
        <xdr:cNvSpPr/>
      </xdr:nvSpPr>
      <xdr:spPr>
        <a:xfrm>
          <a:off x="15613065" y="26771601"/>
          <a:ext cx="1263648" cy="555625"/>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248526</xdr:colOff>
      <xdr:row>83</xdr:row>
      <xdr:rowOff>79374</xdr:rowOff>
    </xdr:from>
    <xdr:to>
      <xdr:col>16</xdr:col>
      <xdr:colOff>172326</xdr:colOff>
      <xdr:row>88</xdr:row>
      <xdr:rowOff>116015</xdr:rowOff>
    </xdr:to>
    <xdr:sp macro="" textlink="">
      <xdr:nvSpPr>
        <xdr:cNvPr id="21" name="Right Arrow 371">
          <a:extLst>
            <a:ext uri="{FF2B5EF4-FFF2-40B4-BE49-F238E27FC236}">
              <a16:creationId xmlns:a16="http://schemas.microsoft.com/office/drawing/2014/main" id="{548F9181-5CDC-4CD8-AA82-55011160F3C9}"/>
            </a:ext>
          </a:extLst>
        </xdr:cNvPr>
        <xdr:cNvSpPr/>
      </xdr:nvSpPr>
      <xdr:spPr>
        <a:xfrm rot="5400000">
          <a:off x="8402655" y="20233545"/>
          <a:ext cx="989141" cy="53340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350126</xdr:colOff>
      <xdr:row>75</xdr:row>
      <xdr:rowOff>11117</xdr:rowOff>
    </xdr:from>
    <xdr:to>
      <xdr:col>26</xdr:col>
      <xdr:colOff>321551</xdr:colOff>
      <xdr:row>85</xdr:row>
      <xdr:rowOff>152403</xdr:rowOff>
    </xdr:to>
    <xdr:sp macro="" textlink="">
      <xdr:nvSpPr>
        <xdr:cNvPr id="22" name="Right Arrow 320">
          <a:extLst>
            <a:ext uri="{FF2B5EF4-FFF2-40B4-BE49-F238E27FC236}">
              <a16:creationId xmlns:a16="http://schemas.microsoft.com/office/drawing/2014/main" id="{A1871639-3262-4FB0-9A9A-FB1CF76FFC3B}"/>
            </a:ext>
          </a:extLst>
        </xdr:cNvPr>
        <xdr:cNvSpPr/>
      </xdr:nvSpPr>
      <xdr:spPr>
        <a:xfrm rot="5400000">
          <a:off x="14295520" y="19146048"/>
          <a:ext cx="2049461" cy="57785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742823</xdr:colOff>
      <xdr:row>15</xdr:row>
      <xdr:rowOff>37283</xdr:rowOff>
    </xdr:from>
    <xdr:to>
      <xdr:col>29</xdr:col>
      <xdr:colOff>592010</xdr:colOff>
      <xdr:row>25</xdr:row>
      <xdr:rowOff>133350</xdr:rowOff>
    </xdr:to>
    <xdr:sp macro="" textlink="">
      <xdr:nvSpPr>
        <xdr:cNvPr id="23" name="Right Arrow 245">
          <a:extLst>
            <a:ext uri="{FF2B5EF4-FFF2-40B4-BE49-F238E27FC236}">
              <a16:creationId xmlns:a16="http://schemas.microsoft.com/office/drawing/2014/main" id="{CBD7FA7C-3194-436A-8F7D-C100E819D0A8}"/>
            </a:ext>
          </a:extLst>
        </xdr:cNvPr>
        <xdr:cNvSpPr/>
      </xdr:nvSpPr>
      <xdr:spPr>
        <a:xfrm rot="5400000">
          <a:off x="16835695" y="7709286"/>
          <a:ext cx="2001067" cy="601662"/>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267522</xdr:colOff>
      <xdr:row>12</xdr:row>
      <xdr:rowOff>115086</xdr:rowOff>
    </xdr:from>
    <xdr:to>
      <xdr:col>27</xdr:col>
      <xdr:colOff>477837</xdr:colOff>
      <xdr:row>15</xdr:row>
      <xdr:rowOff>115086</xdr:rowOff>
    </xdr:to>
    <xdr:sp macro="" textlink="">
      <xdr:nvSpPr>
        <xdr:cNvPr id="24" name="Right Arrow 244">
          <a:extLst>
            <a:ext uri="{FF2B5EF4-FFF2-40B4-BE49-F238E27FC236}">
              <a16:creationId xmlns:a16="http://schemas.microsoft.com/office/drawing/2014/main" id="{FCB5A72E-2757-4F65-AB6A-D8B6BDAEFFED}"/>
            </a:ext>
          </a:extLst>
        </xdr:cNvPr>
        <xdr:cNvSpPr/>
      </xdr:nvSpPr>
      <xdr:spPr>
        <a:xfrm rot="223449">
          <a:off x="14335947" y="6515886"/>
          <a:ext cx="2181990" cy="57150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29</xdr:col>
      <xdr:colOff>618859</xdr:colOff>
      <xdr:row>73</xdr:row>
      <xdr:rowOff>97578</xdr:rowOff>
    </xdr:from>
    <xdr:to>
      <xdr:col>30</xdr:col>
      <xdr:colOff>531547</xdr:colOff>
      <xdr:row>77</xdr:row>
      <xdr:rowOff>65133</xdr:rowOff>
    </xdr:to>
    <xdr:sp macro="" textlink="">
      <xdr:nvSpPr>
        <xdr:cNvPr id="25" name="Right Arrow 240">
          <a:extLst>
            <a:ext uri="{FF2B5EF4-FFF2-40B4-BE49-F238E27FC236}">
              <a16:creationId xmlns:a16="http://schemas.microsoft.com/office/drawing/2014/main" id="{8A9C7186-EF55-4DE2-8AA1-E77B556B2F97}"/>
            </a:ext>
          </a:extLst>
        </xdr:cNvPr>
        <xdr:cNvSpPr/>
      </xdr:nvSpPr>
      <xdr:spPr>
        <a:xfrm rot="16200000">
          <a:off x="18055513" y="18220924"/>
          <a:ext cx="732730" cy="528638"/>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515869</xdr:colOff>
      <xdr:row>41</xdr:row>
      <xdr:rowOff>171633</xdr:rowOff>
    </xdr:from>
    <xdr:to>
      <xdr:col>9</xdr:col>
      <xdr:colOff>429523</xdr:colOff>
      <xdr:row>46</xdr:row>
      <xdr:rowOff>83625</xdr:rowOff>
    </xdr:to>
    <xdr:sp macro="" textlink="">
      <xdr:nvSpPr>
        <xdr:cNvPr id="26" name="Right Arrow 239">
          <a:extLst>
            <a:ext uri="{FF2B5EF4-FFF2-40B4-BE49-F238E27FC236}">
              <a16:creationId xmlns:a16="http://schemas.microsoft.com/office/drawing/2014/main" id="{F3B3606B-4A1C-461C-BBD1-AC48A76FA732}"/>
            </a:ext>
          </a:extLst>
        </xdr:cNvPr>
        <xdr:cNvSpPr/>
      </xdr:nvSpPr>
      <xdr:spPr>
        <a:xfrm rot="5400000">
          <a:off x="4618800" y="12270727"/>
          <a:ext cx="867667" cy="520079"/>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455152</xdr:colOff>
      <xdr:row>70</xdr:row>
      <xdr:rowOff>28092</xdr:rowOff>
    </xdr:from>
    <xdr:to>
      <xdr:col>28</xdr:col>
      <xdr:colOff>600283</xdr:colOff>
      <xdr:row>73</xdr:row>
      <xdr:rowOff>45554</xdr:rowOff>
    </xdr:to>
    <xdr:sp macro="" textlink="">
      <xdr:nvSpPr>
        <xdr:cNvPr id="27" name="Right Arrow 237">
          <a:extLst>
            <a:ext uri="{FF2B5EF4-FFF2-40B4-BE49-F238E27FC236}">
              <a16:creationId xmlns:a16="http://schemas.microsoft.com/office/drawing/2014/main" id="{110EBB87-6E20-4895-AE46-84ED6E2973EB}"/>
            </a:ext>
          </a:extLst>
        </xdr:cNvPr>
        <xdr:cNvSpPr/>
      </xdr:nvSpPr>
      <xdr:spPr>
        <a:xfrm rot="10800000">
          <a:off x="16495252" y="17481067"/>
          <a:ext cx="894431" cy="588962"/>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361238</xdr:colOff>
      <xdr:row>64</xdr:row>
      <xdr:rowOff>76204</xdr:rowOff>
    </xdr:from>
    <xdr:to>
      <xdr:col>26</xdr:col>
      <xdr:colOff>332663</xdr:colOff>
      <xdr:row>69</xdr:row>
      <xdr:rowOff>68394</xdr:rowOff>
    </xdr:to>
    <xdr:sp macro="" textlink="">
      <xdr:nvSpPr>
        <xdr:cNvPr id="28" name="Right Arrow 232">
          <a:extLst>
            <a:ext uri="{FF2B5EF4-FFF2-40B4-BE49-F238E27FC236}">
              <a16:creationId xmlns:a16="http://schemas.microsoft.com/office/drawing/2014/main" id="{500CB13A-FA7E-449C-B737-A3807A831F4B}"/>
            </a:ext>
          </a:extLst>
        </xdr:cNvPr>
        <xdr:cNvSpPr/>
      </xdr:nvSpPr>
      <xdr:spPr>
        <a:xfrm rot="5400000">
          <a:off x="14860605" y="16561662"/>
          <a:ext cx="941515" cy="58420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584200</xdr:colOff>
      <xdr:row>61</xdr:row>
      <xdr:rowOff>17851</xdr:rowOff>
    </xdr:from>
    <xdr:to>
      <xdr:col>23</xdr:col>
      <xdr:colOff>489840</xdr:colOff>
      <xdr:row>64</xdr:row>
      <xdr:rowOff>14676</xdr:rowOff>
    </xdr:to>
    <xdr:sp macro="" textlink="">
      <xdr:nvSpPr>
        <xdr:cNvPr id="29" name="Right Arrow 231">
          <a:extLst>
            <a:ext uri="{FF2B5EF4-FFF2-40B4-BE49-F238E27FC236}">
              <a16:creationId xmlns:a16="http://schemas.microsoft.com/office/drawing/2014/main" id="{90F7ADEE-A630-405B-8180-6AB513C58277}"/>
            </a:ext>
          </a:extLst>
        </xdr:cNvPr>
        <xdr:cNvSpPr/>
      </xdr:nvSpPr>
      <xdr:spPr>
        <a:xfrm>
          <a:off x="12820650" y="15753151"/>
          <a:ext cx="1124840" cy="56515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123059</xdr:colOff>
      <xdr:row>15</xdr:row>
      <xdr:rowOff>18248</xdr:rowOff>
    </xdr:from>
    <xdr:to>
      <xdr:col>26</xdr:col>
      <xdr:colOff>725161</xdr:colOff>
      <xdr:row>18</xdr:row>
      <xdr:rowOff>18248</xdr:rowOff>
    </xdr:to>
    <xdr:sp macro="" textlink="">
      <xdr:nvSpPr>
        <xdr:cNvPr id="30" name="Right Arrow 223">
          <a:extLst>
            <a:ext uri="{FF2B5EF4-FFF2-40B4-BE49-F238E27FC236}">
              <a16:creationId xmlns:a16="http://schemas.microsoft.com/office/drawing/2014/main" id="{2A76C242-AD0D-4711-9475-F0071B07BECC}"/>
            </a:ext>
          </a:extLst>
        </xdr:cNvPr>
        <xdr:cNvSpPr/>
      </xdr:nvSpPr>
      <xdr:spPr>
        <a:xfrm rot="1910296">
          <a:off x="14194659" y="6990548"/>
          <a:ext cx="1818127" cy="57150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550736</xdr:colOff>
      <xdr:row>21</xdr:row>
      <xdr:rowOff>19820</xdr:rowOff>
    </xdr:from>
    <xdr:to>
      <xdr:col>28</xdr:col>
      <xdr:colOff>390399</xdr:colOff>
      <xdr:row>25</xdr:row>
      <xdr:rowOff>133201</xdr:rowOff>
    </xdr:to>
    <xdr:sp macro="" textlink="">
      <xdr:nvSpPr>
        <xdr:cNvPr id="31" name="Right Arrow 222">
          <a:extLst>
            <a:ext uri="{FF2B5EF4-FFF2-40B4-BE49-F238E27FC236}">
              <a16:creationId xmlns:a16="http://schemas.microsoft.com/office/drawing/2014/main" id="{B9787A1F-551F-4F13-87BA-93496105D858}"/>
            </a:ext>
          </a:extLst>
        </xdr:cNvPr>
        <xdr:cNvSpPr/>
      </xdr:nvSpPr>
      <xdr:spPr>
        <a:xfrm rot="5400000">
          <a:off x="16450802" y="8275154"/>
          <a:ext cx="875381" cy="595313"/>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315786</xdr:colOff>
      <xdr:row>19</xdr:row>
      <xdr:rowOff>116658</xdr:rowOff>
    </xdr:from>
    <xdr:to>
      <xdr:col>22</xdr:col>
      <xdr:colOff>287211</xdr:colOff>
      <xdr:row>24</xdr:row>
      <xdr:rowOff>49063</xdr:rowOff>
    </xdr:to>
    <xdr:sp macro="" textlink="">
      <xdr:nvSpPr>
        <xdr:cNvPr id="32" name="Right Arrow 221">
          <a:extLst>
            <a:ext uri="{FF2B5EF4-FFF2-40B4-BE49-F238E27FC236}">
              <a16:creationId xmlns:a16="http://schemas.microsoft.com/office/drawing/2014/main" id="{287E861E-FDE0-4952-A5CD-144436417E9F}"/>
            </a:ext>
          </a:extLst>
        </xdr:cNvPr>
        <xdr:cNvSpPr/>
      </xdr:nvSpPr>
      <xdr:spPr>
        <a:xfrm rot="5400000">
          <a:off x="12403471" y="7999723"/>
          <a:ext cx="881730" cy="584200"/>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161925</xdr:colOff>
      <xdr:row>61</xdr:row>
      <xdr:rowOff>8326</xdr:rowOff>
    </xdr:from>
    <xdr:to>
      <xdr:col>18</xdr:col>
      <xdr:colOff>67565</xdr:colOff>
      <xdr:row>64</xdr:row>
      <xdr:rowOff>5151</xdr:rowOff>
    </xdr:to>
    <xdr:sp macro="" textlink="">
      <xdr:nvSpPr>
        <xdr:cNvPr id="33" name="Right Arrow 218">
          <a:extLst>
            <a:ext uri="{FF2B5EF4-FFF2-40B4-BE49-F238E27FC236}">
              <a16:creationId xmlns:a16="http://schemas.microsoft.com/office/drawing/2014/main" id="{07E514E7-6066-417C-8119-FF40195D45CF}"/>
            </a:ext>
          </a:extLst>
        </xdr:cNvPr>
        <xdr:cNvSpPr/>
      </xdr:nvSpPr>
      <xdr:spPr>
        <a:xfrm>
          <a:off x="9150350" y="15746801"/>
          <a:ext cx="1124840" cy="568325"/>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250825</xdr:colOff>
      <xdr:row>61</xdr:row>
      <xdr:rowOff>14676</xdr:rowOff>
    </xdr:from>
    <xdr:to>
      <xdr:col>12</xdr:col>
      <xdr:colOff>156465</xdr:colOff>
      <xdr:row>64</xdr:row>
      <xdr:rowOff>11501</xdr:rowOff>
    </xdr:to>
    <xdr:sp macro="" textlink="">
      <xdr:nvSpPr>
        <xdr:cNvPr id="34" name="Right Arrow 214">
          <a:extLst>
            <a:ext uri="{FF2B5EF4-FFF2-40B4-BE49-F238E27FC236}">
              <a16:creationId xmlns:a16="http://schemas.microsoft.com/office/drawing/2014/main" id="{DEB3E9D4-C8CA-4468-A94D-DC6F8E1E4E03}"/>
            </a:ext>
          </a:extLst>
        </xdr:cNvPr>
        <xdr:cNvSpPr/>
      </xdr:nvSpPr>
      <xdr:spPr>
        <a:xfrm>
          <a:off x="5588000" y="15746801"/>
          <a:ext cx="1124840" cy="568325"/>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403939</xdr:colOff>
      <xdr:row>29</xdr:row>
      <xdr:rowOff>35549</xdr:rowOff>
    </xdr:from>
    <xdr:to>
      <xdr:col>12</xdr:col>
      <xdr:colOff>375364</xdr:colOff>
      <xdr:row>59</xdr:row>
      <xdr:rowOff>31097</xdr:rowOff>
    </xdr:to>
    <xdr:sp macro="" textlink="">
      <xdr:nvSpPr>
        <xdr:cNvPr id="35" name="Right Arrow 210">
          <a:extLst>
            <a:ext uri="{FF2B5EF4-FFF2-40B4-BE49-F238E27FC236}">
              <a16:creationId xmlns:a16="http://schemas.microsoft.com/office/drawing/2014/main" id="{5EE7383E-AF09-45F6-AB58-039CD596D490}"/>
            </a:ext>
          </a:extLst>
        </xdr:cNvPr>
        <xdr:cNvSpPr/>
      </xdr:nvSpPr>
      <xdr:spPr>
        <a:xfrm rot="4839492">
          <a:off x="3784365" y="12241198"/>
          <a:ext cx="5707373" cy="574675"/>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442232</xdr:colOff>
      <xdr:row>32</xdr:row>
      <xdr:rowOff>57114</xdr:rowOff>
    </xdr:from>
    <xdr:to>
      <xdr:col>6</xdr:col>
      <xdr:colOff>413657</xdr:colOff>
      <xdr:row>53</xdr:row>
      <xdr:rowOff>131006</xdr:rowOff>
    </xdr:to>
    <xdr:sp macro="" textlink="">
      <xdr:nvSpPr>
        <xdr:cNvPr id="36" name="Right Arrow 207">
          <a:extLst>
            <a:ext uri="{FF2B5EF4-FFF2-40B4-BE49-F238E27FC236}">
              <a16:creationId xmlns:a16="http://schemas.microsoft.com/office/drawing/2014/main" id="{87EBEF25-FE1E-4246-9B08-891892E13862}"/>
            </a:ext>
          </a:extLst>
        </xdr:cNvPr>
        <xdr:cNvSpPr/>
      </xdr:nvSpPr>
      <xdr:spPr>
        <a:xfrm rot="5188677">
          <a:off x="1143474" y="12017772"/>
          <a:ext cx="4074392" cy="574675"/>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261095</xdr:colOff>
      <xdr:row>39</xdr:row>
      <xdr:rowOff>180971</xdr:rowOff>
    </xdr:from>
    <xdr:to>
      <xdr:col>21</xdr:col>
      <xdr:colOff>76200</xdr:colOff>
      <xdr:row>42</xdr:row>
      <xdr:rowOff>173034</xdr:rowOff>
    </xdr:to>
    <xdr:sp macro="" textlink="">
      <xdr:nvSpPr>
        <xdr:cNvPr id="37" name="Right Arrow 205">
          <a:extLst>
            <a:ext uri="{FF2B5EF4-FFF2-40B4-BE49-F238E27FC236}">
              <a16:creationId xmlns:a16="http://schemas.microsoft.com/office/drawing/2014/main" id="{015FD65E-88F9-4099-9402-5D3568D5BAE2}"/>
            </a:ext>
          </a:extLst>
        </xdr:cNvPr>
        <xdr:cNvSpPr/>
      </xdr:nvSpPr>
      <xdr:spPr>
        <a:xfrm rot="10800000">
          <a:off x="11144995" y="11728446"/>
          <a:ext cx="1170830" cy="560388"/>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57895</xdr:colOff>
      <xdr:row>39</xdr:row>
      <xdr:rowOff>192084</xdr:rowOff>
    </xdr:from>
    <xdr:to>
      <xdr:col>26</xdr:col>
      <xdr:colOff>571500</xdr:colOff>
      <xdr:row>42</xdr:row>
      <xdr:rowOff>179384</xdr:rowOff>
    </xdr:to>
    <xdr:sp macro="" textlink="">
      <xdr:nvSpPr>
        <xdr:cNvPr id="38" name="Right Arrow 201">
          <a:extLst>
            <a:ext uri="{FF2B5EF4-FFF2-40B4-BE49-F238E27FC236}">
              <a16:creationId xmlns:a16="http://schemas.microsoft.com/office/drawing/2014/main" id="{66BE7074-9C42-429F-996D-22E6FD03C057}"/>
            </a:ext>
          </a:extLst>
        </xdr:cNvPr>
        <xdr:cNvSpPr/>
      </xdr:nvSpPr>
      <xdr:spPr>
        <a:xfrm rot="10800000">
          <a:off x="14735920" y="11736384"/>
          <a:ext cx="1123205" cy="561975"/>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285038</xdr:colOff>
      <xdr:row>31</xdr:row>
      <xdr:rowOff>160341</xdr:rowOff>
    </xdr:from>
    <xdr:to>
      <xdr:col>29</xdr:col>
      <xdr:colOff>73901</xdr:colOff>
      <xdr:row>38</xdr:row>
      <xdr:rowOff>3</xdr:rowOff>
    </xdr:to>
    <xdr:sp macro="" textlink="">
      <xdr:nvSpPr>
        <xdr:cNvPr id="39" name="Right Arrow 204">
          <a:extLst>
            <a:ext uri="{FF2B5EF4-FFF2-40B4-BE49-F238E27FC236}">
              <a16:creationId xmlns:a16="http://schemas.microsoft.com/office/drawing/2014/main" id="{62C0C0ED-FC8B-4DF2-B6CF-E9F637A38FFB}"/>
            </a:ext>
          </a:extLst>
        </xdr:cNvPr>
        <xdr:cNvSpPr/>
      </xdr:nvSpPr>
      <xdr:spPr>
        <a:xfrm rot="5400000">
          <a:off x="16763288" y="10498141"/>
          <a:ext cx="1169987" cy="541338"/>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457200</xdr:colOff>
      <xdr:row>27</xdr:row>
      <xdr:rowOff>122626</xdr:rowOff>
    </xdr:from>
    <xdr:to>
      <xdr:col>26</xdr:col>
      <xdr:colOff>656527</xdr:colOff>
      <xdr:row>30</xdr:row>
      <xdr:rowOff>124213</xdr:rowOff>
    </xdr:to>
    <xdr:sp macro="" textlink="">
      <xdr:nvSpPr>
        <xdr:cNvPr id="40" name="Right Arrow 195">
          <a:extLst>
            <a:ext uri="{FF2B5EF4-FFF2-40B4-BE49-F238E27FC236}">
              <a16:creationId xmlns:a16="http://schemas.microsoft.com/office/drawing/2014/main" id="{E69C072C-86B9-4156-99AE-172271CC36F3}"/>
            </a:ext>
          </a:extLst>
        </xdr:cNvPr>
        <xdr:cNvSpPr/>
      </xdr:nvSpPr>
      <xdr:spPr>
        <a:xfrm>
          <a:off x="14525625" y="9384101"/>
          <a:ext cx="1421702" cy="566737"/>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579437</xdr:colOff>
      <xdr:row>26</xdr:row>
      <xdr:rowOff>28963</xdr:rowOff>
    </xdr:from>
    <xdr:to>
      <xdr:col>20</xdr:col>
      <xdr:colOff>389827</xdr:colOff>
      <xdr:row>29</xdr:row>
      <xdr:rowOff>21026</xdr:rowOff>
    </xdr:to>
    <xdr:sp macro="" textlink="">
      <xdr:nvSpPr>
        <xdr:cNvPr id="41" name="Right Arrow 192">
          <a:extLst>
            <a:ext uri="{FF2B5EF4-FFF2-40B4-BE49-F238E27FC236}">
              <a16:creationId xmlns:a16="http://schemas.microsoft.com/office/drawing/2014/main" id="{13C924F2-7783-41C5-9841-7B24F5B77FAA}"/>
            </a:ext>
          </a:extLst>
        </xdr:cNvPr>
        <xdr:cNvSpPr/>
      </xdr:nvSpPr>
      <xdr:spPr>
        <a:xfrm>
          <a:off x="10793412" y="9093588"/>
          <a:ext cx="1162940" cy="566738"/>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154128</xdr:colOff>
      <xdr:row>14</xdr:row>
      <xdr:rowOff>21125</xdr:rowOff>
    </xdr:from>
    <xdr:to>
      <xdr:col>23</xdr:col>
      <xdr:colOff>76200</xdr:colOff>
      <xdr:row>17</xdr:row>
      <xdr:rowOff>152403</xdr:rowOff>
    </xdr:to>
    <xdr:sp macro="" textlink="">
      <xdr:nvSpPr>
        <xdr:cNvPr id="42" name="Right Arrow 155">
          <a:extLst>
            <a:ext uri="{FF2B5EF4-FFF2-40B4-BE49-F238E27FC236}">
              <a16:creationId xmlns:a16="http://schemas.microsoft.com/office/drawing/2014/main" id="{F5718C3F-3BDB-4BFD-84FC-328754438CAE}"/>
            </a:ext>
          </a:extLst>
        </xdr:cNvPr>
        <xdr:cNvSpPr/>
      </xdr:nvSpPr>
      <xdr:spPr>
        <a:xfrm rot="5400000">
          <a:off x="12917800" y="6888478"/>
          <a:ext cx="702778" cy="531672"/>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211866</xdr:colOff>
      <xdr:row>43</xdr:row>
      <xdr:rowOff>107044</xdr:rowOff>
    </xdr:from>
    <xdr:to>
      <xdr:col>20</xdr:col>
      <xdr:colOff>183291</xdr:colOff>
      <xdr:row>49</xdr:row>
      <xdr:rowOff>76860</xdr:rowOff>
    </xdr:to>
    <xdr:sp macro="" textlink="">
      <xdr:nvSpPr>
        <xdr:cNvPr id="43" name="Right Arrow 153">
          <a:extLst>
            <a:ext uri="{FF2B5EF4-FFF2-40B4-BE49-F238E27FC236}">
              <a16:creationId xmlns:a16="http://schemas.microsoft.com/office/drawing/2014/main" id="{DB88F922-7DB5-4412-B4CC-75DC0FA06CF2}"/>
            </a:ext>
          </a:extLst>
        </xdr:cNvPr>
        <xdr:cNvSpPr/>
      </xdr:nvSpPr>
      <xdr:spPr>
        <a:xfrm rot="13546905">
          <a:off x="10863208" y="12645902"/>
          <a:ext cx="1115991" cy="644525"/>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122126</xdr:colOff>
      <xdr:row>88</xdr:row>
      <xdr:rowOff>95253</xdr:rowOff>
    </xdr:from>
    <xdr:to>
      <xdr:col>25</xdr:col>
      <xdr:colOff>87201</xdr:colOff>
      <xdr:row>105</xdr:row>
      <xdr:rowOff>3</xdr:rowOff>
    </xdr:to>
    <xdr:sp macro="" textlink="">
      <xdr:nvSpPr>
        <xdr:cNvPr id="44" name="Right Arrow 135">
          <a:extLst>
            <a:ext uri="{FF2B5EF4-FFF2-40B4-BE49-F238E27FC236}">
              <a16:creationId xmlns:a16="http://schemas.microsoft.com/office/drawing/2014/main" id="{D9130169-3E7C-48A4-8EAF-D4C4C9ECBBDB}"/>
            </a:ext>
          </a:extLst>
        </xdr:cNvPr>
        <xdr:cNvSpPr/>
      </xdr:nvSpPr>
      <xdr:spPr>
        <a:xfrm rot="5400000">
          <a:off x="12915789" y="22251990"/>
          <a:ext cx="3124200" cy="568325"/>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876</xdr:colOff>
      <xdr:row>96</xdr:row>
      <xdr:rowOff>17329</xdr:rowOff>
    </xdr:from>
    <xdr:to>
      <xdr:col>16</xdr:col>
      <xdr:colOff>572376</xdr:colOff>
      <xdr:row>105</xdr:row>
      <xdr:rowOff>4</xdr:rowOff>
    </xdr:to>
    <xdr:sp macro="" textlink="">
      <xdr:nvSpPr>
        <xdr:cNvPr id="45" name="Right Arrow 128">
          <a:extLst>
            <a:ext uri="{FF2B5EF4-FFF2-40B4-BE49-F238E27FC236}">
              <a16:creationId xmlns:a16="http://schemas.microsoft.com/office/drawing/2014/main" id="{6678E338-8D8B-40E1-81A3-5EC91F192759}"/>
            </a:ext>
          </a:extLst>
        </xdr:cNvPr>
        <xdr:cNvSpPr/>
      </xdr:nvSpPr>
      <xdr:spPr>
        <a:xfrm rot="5400000">
          <a:off x="8439163" y="22973442"/>
          <a:ext cx="1678125" cy="57150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30935</xdr:colOff>
      <xdr:row>13</xdr:row>
      <xdr:rowOff>56891</xdr:rowOff>
    </xdr:from>
    <xdr:to>
      <xdr:col>21</xdr:col>
      <xdr:colOff>371278</xdr:colOff>
      <xdr:row>16</xdr:row>
      <xdr:rowOff>56891</xdr:rowOff>
    </xdr:to>
    <xdr:sp macro="" textlink="">
      <xdr:nvSpPr>
        <xdr:cNvPr id="46" name="Right Arrow 202">
          <a:extLst>
            <a:ext uri="{FF2B5EF4-FFF2-40B4-BE49-F238E27FC236}">
              <a16:creationId xmlns:a16="http://schemas.microsoft.com/office/drawing/2014/main" id="{77F7BEF7-EC1D-4579-A0BE-6EFB43FABE38}"/>
            </a:ext>
          </a:extLst>
        </xdr:cNvPr>
        <xdr:cNvSpPr/>
      </xdr:nvSpPr>
      <xdr:spPr>
        <a:xfrm rot="10004141">
          <a:off x="10238560" y="6648191"/>
          <a:ext cx="2375518" cy="57150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160005</xdr:colOff>
      <xdr:row>78</xdr:row>
      <xdr:rowOff>47421</xdr:rowOff>
    </xdr:from>
    <xdr:to>
      <xdr:col>12</xdr:col>
      <xdr:colOff>628097</xdr:colOff>
      <xdr:row>81</xdr:row>
      <xdr:rowOff>49008</xdr:rowOff>
    </xdr:to>
    <xdr:sp macro="" textlink="">
      <xdr:nvSpPr>
        <xdr:cNvPr id="47" name="Right Arrow 180">
          <a:extLst>
            <a:ext uri="{FF2B5EF4-FFF2-40B4-BE49-F238E27FC236}">
              <a16:creationId xmlns:a16="http://schemas.microsoft.com/office/drawing/2014/main" id="{90BED1D3-7162-43FC-A2F8-8B191F046FF3}"/>
            </a:ext>
          </a:extLst>
        </xdr:cNvPr>
        <xdr:cNvSpPr/>
      </xdr:nvSpPr>
      <xdr:spPr>
        <a:xfrm>
          <a:off x="5497180" y="19024396"/>
          <a:ext cx="1665067" cy="566737"/>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293561</xdr:colOff>
      <xdr:row>17</xdr:row>
      <xdr:rowOff>145233</xdr:rowOff>
    </xdr:from>
    <xdr:to>
      <xdr:col>17</xdr:col>
      <xdr:colOff>264986</xdr:colOff>
      <xdr:row>22</xdr:row>
      <xdr:rowOff>77638</xdr:rowOff>
    </xdr:to>
    <xdr:sp macro="" textlink="">
      <xdr:nvSpPr>
        <xdr:cNvPr id="48" name="Right Arrow 169">
          <a:extLst>
            <a:ext uri="{FF2B5EF4-FFF2-40B4-BE49-F238E27FC236}">
              <a16:creationId xmlns:a16="http://schemas.microsoft.com/office/drawing/2014/main" id="{67D5D62B-5387-43D9-919A-6FEB73DB6E12}"/>
            </a:ext>
          </a:extLst>
        </xdr:cNvPr>
        <xdr:cNvSpPr/>
      </xdr:nvSpPr>
      <xdr:spPr>
        <a:xfrm rot="5400000">
          <a:off x="9133221" y="7650473"/>
          <a:ext cx="888080" cy="577850"/>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525465</xdr:colOff>
      <xdr:row>117</xdr:row>
      <xdr:rowOff>112714</xdr:rowOff>
    </xdr:from>
    <xdr:to>
      <xdr:col>20</xdr:col>
      <xdr:colOff>236538</xdr:colOff>
      <xdr:row>120</xdr:row>
      <xdr:rowOff>122239</xdr:rowOff>
    </xdr:to>
    <xdr:sp macro="" textlink="">
      <xdr:nvSpPr>
        <xdr:cNvPr id="49" name="Right Arrow 216">
          <a:extLst>
            <a:ext uri="{FF2B5EF4-FFF2-40B4-BE49-F238E27FC236}">
              <a16:creationId xmlns:a16="http://schemas.microsoft.com/office/drawing/2014/main" id="{8760537D-7342-4ED0-A39B-E2E28CBAA745}"/>
            </a:ext>
          </a:extLst>
        </xdr:cNvPr>
        <xdr:cNvSpPr/>
      </xdr:nvSpPr>
      <xdr:spPr>
        <a:xfrm>
          <a:off x="10733090" y="26382664"/>
          <a:ext cx="1069973" cy="555625"/>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229216</xdr:colOff>
      <xdr:row>19</xdr:row>
      <xdr:rowOff>50496</xdr:rowOff>
    </xdr:from>
    <xdr:to>
      <xdr:col>4</xdr:col>
      <xdr:colOff>184767</xdr:colOff>
      <xdr:row>73</xdr:row>
      <xdr:rowOff>123377</xdr:rowOff>
    </xdr:to>
    <xdr:sp macro="" textlink="">
      <xdr:nvSpPr>
        <xdr:cNvPr id="50" name="Right Arrow 185">
          <a:extLst>
            <a:ext uri="{FF2B5EF4-FFF2-40B4-BE49-F238E27FC236}">
              <a16:creationId xmlns:a16="http://schemas.microsoft.com/office/drawing/2014/main" id="{8A53773A-E05F-4B90-835D-F82F4E6D3B62}"/>
            </a:ext>
          </a:extLst>
        </xdr:cNvPr>
        <xdr:cNvSpPr/>
      </xdr:nvSpPr>
      <xdr:spPr>
        <a:xfrm rot="5244263">
          <a:off x="-3444187" y="12683749"/>
          <a:ext cx="10366231" cy="561976"/>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266700</xdr:colOff>
      <xdr:row>22</xdr:row>
      <xdr:rowOff>18733</xdr:rowOff>
    </xdr:from>
    <xdr:to>
      <xdr:col>13</xdr:col>
      <xdr:colOff>207961</xdr:colOff>
      <xdr:row>35</xdr:row>
      <xdr:rowOff>19051</xdr:rowOff>
    </xdr:to>
    <xdr:sp macro="" textlink="">
      <xdr:nvSpPr>
        <xdr:cNvPr id="51" name="Rounded Rectangle 28">
          <a:extLst>
            <a:ext uri="{FF2B5EF4-FFF2-40B4-BE49-F238E27FC236}">
              <a16:creationId xmlns:a16="http://schemas.microsoft.com/office/drawing/2014/main" id="{DCFD794B-F629-4EB6-90D7-EC90D46E0185}"/>
            </a:ext>
          </a:extLst>
        </xdr:cNvPr>
        <xdr:cNvSpPr/>
      </xdr:nvSpPr>
      <xdr:spPr>
        <a:xfrm>
          <a:off x="2105025" y="8324533"/>
          <a:ext cx="5265736" cy="2476818"/>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Raw Materials-Water Cooled:</a:t>
          </a:r>
        </a:p>
        <a:p>
          <a:pPr algn="ctr"/>
          <a:r>
            <a:rPr lang="en-US" sz="2800" b="1" u="none">
              <a:solidFill>
                <a:sysClr val="windowText" lastClr="000000"/>
              </a:solidFill>
            </a:rPr>
            <a:t>Steel Plate &amp; Bar,</a:t>
          </a:r>
          <a:r>
            <a:rPr lang="en-US" sz="2800" b="1" u="none" baseline="0">
              <a:solidFill>
                <a:sysClr val="windowText" lastClr="000000"/>
              </a:solidFill>
            </a:rPr>
            <a:t> Copper Tubes,  Motors, Castings and Various Other Components</a:t>
          </a:r>
          <a:endParaRPr lang="en-US" sz="2800" b="1" u="none">
            <a:solidFill>
              <a:sysClr val="windowText" lastClr="000000"/>
            </a:solidFill>
          </a:endParaRPr>
        </a:p>
      </xdr:txBody>
    </xdr:sp>
    <xdr:clientData/>
  </xdr:twoCellAnchor>
  <xdr:twoCellAnchor>
    <xdr:from>
      <xdr:col>5</xdr:col>
      <xdr:colOff>302505</xdr:colOff>
      <xdr:row>17</xdr:row>
      <xdr:rowOff>74489</xdr:rowOff>
    </xdr:from>
    <xdr:to>
      <xdr:col>6</xdr:col>
      <xdr:colOff>273930</xdr:colOff>
      <xdr:row>22</xdr:row>
      <xdr:rowOff>11478</xdr:rowOff>
    </xdr:to>
    <xdr:sp macro="" textlink="">
      <xdr:nvSpPr>
        <xdr:cNvPr id="52" name="Right Arrow 294">
          <a:extLst>
            <a:ext uri="{FF2B5EF4-FFF2-40B4-BE49-F238E27FC236}">
              <a16:creationId xmlns:a16="http://schemas.microsoft.com/office/drawing/2014/main" id="{C985D9C5-FF68-453B-87CB-7C5756A576C6}"/>
            </a:ext>
          </a:extLst>
        </xdr:cNvPr>
        <xdr:cNvSpPr/>
      </xdr:nvSpPr>
      <xdr:spPr>
        <a:xfrm rot="4839492">
          <a:off x="2599373" y="7578846"/>
          <a:ext cx="886314" cy="584200"/>
        </a:xfrm>
        <a:prstGeom prst="rightArrow">
          <a:avLst/>
        </a:prstGeom>
        <a:solidFill>
          <a:schemeClr val="accent6">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457200</xdr:colOff>
      <xdr:row>17</xdr:row>
      <xdr:rowOff>57149</xdr:rowOff>
    </xdr:from>
    <xdr:to>
      <xdr:col>7</xdr:col>
      <xdr:colOff>37110</xdr:colOff>
      <xdr:row>23</xdr:row>
      <xdr:rowOff>95186</xdr:rowOff>
    </xdr:to>
    <xdr:pic>
      <xdr:nvPicPr>
        <xdr:cNvPr id="53" name="Picture 52">
          <a:extLst>
            <a:ext uri="{FF2B5EF4-FFF2-40B4-BE49-F238E27FC236}">
              <a16:creationId xmlns:a16="http://schemas.microsoft.com/office/drawing/2014/main" id="{B740258A-A00B-4149-B6B1-9699C6532CA4}"/>
            </a:ext>
          </a:extLst>
        </xdr:cNvPr>
        <xdr:cNvPicPr>
          <a:picLocks noChangeAspect="1"/>
        </xdr:cNvPicPr>
      </xdr:nvPicPr>
      <xdr:blipFill>
        <a:blip xmlns:r="http://schemas.openxmlformats.org/officeDocument/2006/relationships" r:embed="rId1"/>
        <a:stretch>
          <a:fillRect/>
        </a:stretch>
      </xdr:blipFill>
      <xdr:spPr>
        <a:xfrm>
          <a:off x="1228725" y="7410449"/>
          <a:ext cx="2475510" cy="1123887"/>
        </a:xfrm>
        <a:prstGeom prst="rect">
          <a:avLst/>
        </a:prstGeom>
        <a:ln>
          <a:solidFill>
            <a:srgbClr val="002060"/>
          </a:solidFill>
        </a:ln>
      </xdr:spPr>
    </xdr:pic>
    <xdr:clientData/>
  </xdr:twoCellAnchor>
  <xdr:twoCellAnchor>
    <xdr:from>
      <xdr:col>20</xdr:col>
      <xdr:colOff>190500</xdr:colOff>
      <xdr:row>114</xdr:row>
      <xdr:rowOff>38100</xdr:rowOff>
    </xdr:from>
    <xdr:to>
      <xdr:col>27</xdr:col>
      <xdr:colOff>46038</xdr:colOff>
      <xdr:row>123</xdr:row>
      <xdr:rowOff>171450</xdr:rowOff>
    </xdr:to>
    <xdr:sp macro="" textlink="">
      <xdr:nvSpPr>
        <xdr:cNvPr id="54" name="Rounded Rectangle 120">
          <a:extLst>
            <a:ext uri="{FF2B5EF4-FFF2-40B4-BE49-F238E27FC236}">
              <a16:creationId xmlns:a16="http://schemas.microsoft.com/office/drawing/2014/main" id="{8EA1A7A1-BA1C-4FB1-9A7E-FA26DD2A36C9}"/>
            </a:ext>
          </a:extLst>
        </xdr:cNvPr>
        <xdr:cNvSpPr/>
      </xdr:nvSpPr>
      <xdr:spPr>
        <a:xfrm>
          <a:off x="11753850" y="25765125"/>
          <a:ext cx="4335463" cy="1762125"/>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Final Products:</a:t>
          </a:r>
        </a:p>
        <a:p>
          <a:pPr algn="ctr"/>
          <a:r>
            <a:rPr lang="en-US" sz="2800" b="1" u="none" baseline="0">
              <a:solidFill>
                <a:sysClr val="windowText" lastClr="000000"/>
              </a:solidFill>
            </a:rPr>
            <a:t>Water Cooled and Air Cooled Chiller Systems</a:t>
          </a:r>
          <a:endParaRPr lang="en-US" sz="2800" b="1" u="none">
            <a:solidFill>
              <a:sysClr val="windowText" lastClr="000000"/>
            </a:solidFill>
          </a:endParaRPr>
        </a:p>
      </xdr:txBody>
    </xdr:sp>
    <xdr:clientData/>
  </xdr:twoCellAnchor>
  <xdr:twoCellAnchor>
    <xdr:from>
      <xdr:col>24</xdr:col>
      <xdr:colOff>95250</xdr:colOff>
      <xdr:row>69</xdr:row>
      <xdr:rowOff>66676</xdr:rowOff>
    </xdr:from>
    <xdr:to>
      <xdr:col>27</xdr:col>
      <xdr:colOff>476250</xdr:colOff>
      <xdr:row>77</xdr:row>
      <xdr:rowOff>38100</xdr:rowOff>
    </xdr:to>
    <xdr:sp macro="" textlink="">
      <xdr:nvSpPr>
        <xdr:cNvPr id="55" name="Rounded Rectangle 131">
          <a:extLst>
            <a:ext uri="{FF2B5EF4-FFF2-40B4-BE49-F238E27FC236}">
              <a16:creationId xmlns:a16="http://schemas.microsoft.com/office/drawing/2014/main" id="{BB952DF8-5C0E-4101-AF54-769CB81161A3}"/>
            </a:ext>
          </a:extLst>
        </xdr:cNvPr>
        <xdr:cNvSpPr/>
      </xdr:nvSpPr>
      <xdr:spPr>
        <a:xfrm>
          <a:off x="14163675" y="17322801"/>
          <a:ext cx="2352675" cy="1498599"/>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Paint Booth</a:t>
          </a:r>
        </a:p>
        <a:p>
          <a:pPr algn="ctr"/>
          <a:r>
            <a:rPr lang="en-US" sz="3200" b="1">
              <a:solidFill>
                <a:sysClr val="windowText" lastClr="000000"/>
              </a:solidFill>
            </a:rPr>
            <a:t>(air dried)</a:t>
          </a:r>
        </a:p>
      </xdr:txBody>
    </xdr:sp>
    <xdr:clientData/>
  </xdr:twoCellAnchor>
  <xdr:twoCellAnchor>
    <xdr:from>
      <xdr:col>15</xdr:col>
      <xdr:colOff>133351</xdr:colOff>
      <xdr:row>104</xdr:row>
      <xdr:rowOff>180975</xdr:rowOff>
    </xdr:from>
    <xdr:to>
      <xdr:col>25</xdr:col>
      <xdr:colOff>361951</xdr:colOff>
      <xdr:row>109</xdr:row>
      <xdr:rowOff>142875</xdr:rowOff>
    </xdr:to>
    <xdr:sp macro="" textlink="">
      <xdr:nvSpPr>
        <xdr:cNvPr id="56" name="Rounded Rectangle 145">
          <a:extLst>
            <a:ext uri="{FF2B5EF4-FFF2-40B4-BE49-F238E27FC236}">
              <a16:creationId xmlns:a16="http://schemas.microsoft.com/office/drawing/2014/main" id="{137190BC-3EFC-4B6E-808F-0C1E1035DC35}"/>
            </a:ext>
          </a:extLst>
        </xdr:cNvPr>
        <xdr:cNvSpPr/>
      </xdr:nvSpPr>
      <xdr:spPr>
        <a:xfrm>
          <a:off x="8515351" y="24095075"/>
          <a:ext cx="6524625" cy="866775"/>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Packaging</a:t>
          </a:r>
        </a:p>
      </xdr:txBody>
    </xdr:sp>
    <xdr:clientData/>
  </xdr:twoCellAnchor>
  <xdr:twoCellAnchor>
    <xdr:from>
      <xdr:col>12</xdr:col>
      <xdr:colOff>324471</xdr:colOff>
      <xdr:row>115</xdr:row>
      <xdr:rowOff>47625</xdr:rowOff>
    </xdr:from>
    <xdr:to>
      <xdr:col>19</xdr:col>
      <xdr:colOff>152401</xdr:colOff>
      <xdr:row>122</xdr:row>
      <xdr:rowOff>152400</xdr:rowOff>
    </xdr:to>
    <xdr:sp macro="" textlink="">
      <xdr:nvSpPr>
        <xdr:cNvPr id="57" name="Rounded Rectangle 165">
          <a:extLst>
            <a:ext uri="{FF2B5EF4-FFF2-40B4-BE49-F238E27FC236}">
              <a16:creationId xmlns:a16="http://schemas.microsoft.com/office/drawing/2014/main" id="{79B20A70-4011-411B-A8A0-263AC5D9D613}"/>
            </a:ext>
          </a:extLst>
        </xdr:cNvPr>
        <xdr:cNvSpPr/>
      </xdr:nvSpPr>
      <xdr:spPr>
        <a:xfrm>
          <a:off x="6877671" y="25952450"/>
          <a:ext cx="4161805" cy="1374775"/>
        </a:xfrm>
        <a:prstGeom prst="roundRect">
          <a:avLst/>
        </a:prstGeom>
        <a:solidFill>
          <a:schemeClr val="accent5">
            <a:lumMod val="40000"/>
            <a:lumOff val="6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Warehouse and Shipping</a:t>
          </a:r>
        </a:p>
      </xdr:txBody>
    </xdr:sp>
    <xdr:clientData/>
  </xdr:twoCellAnchor>
  <xdr:twoCellAnchor>
    <xdr:from>
      <xdr:col>14</xdr:col>
      <xdr:colOff>382587</xdr:colOff>
      <xdr:row>22</xdr:row>
      <xdr:rowOff>96837</xdr:rowOff>
    </xdr:from>
    <xdr:to>
      <xdr:col>19</xdr:col>
      <xdr:colOff>7938</xdr:colOff>
      <xdr:row>29</xdr:row>
      <xdr:rowOff>49211</xdr:rowOff>
    </xdr:to>
    <xdr:sp macro="" textlink="">
      <xdr:nvSpPr>
        <xdr:cNvPr id="58" name="Rounded Rectangle 167">
          <a:extLst>
            <a:ext uri="{FF2B5EF4-FFF2-40B4-BE49-F238E27FC236}">
              <a16:creationId xmlns:a16="http://schemas.microsoft.com/office/drawing/2014/main" id="{BE2D90D8-3088-4088-B1DC-A145D4CE19B6}"/>
            </a:ext>
          </a:extLst>
        </xdr:cNvPr>
        <xdr:cNvSpPr/>
      </xdr:nvSpPr>
      <xdr:spPr>
        <a:xfrm>
          <a:off x="8154987" y="8402637"/>
          <a:ext cx="2743201" cy="1282699"/>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Steel Plate</a:t>
          </a:r>
        </a:p>
        <a:p>
          <a:pPr algn="ctr"/>
          <a:r>
            <a:rPr lang="en-US" sz="3200" b="1" baseline="0">
              <a:solidFill>
                <a:sysClr val="windowText" lastClr="000000"/>
              </a:solidFill>
            </a:rPr>
            <a:t>Plasma Cutting</a:t>
          </a:r>
          <a:endParaRPr lang="en-US" sz="3200" b="1">
            <a:solidFill>
              <a:sysClr val="windowText" lastClr="000000"/>
            </a:solidFill>
          </a:endParaRPr>
        </a:p>
      </xdr:txBody>
    </xdr:sp>
    <xdr:clientData/>
  </xdr:twoCellAnchor>
  <xdr:twoCellAnchor>
    <xdr:from>
      <xdr:col>20</xdr:col>
      <xdr:colOff>19051</xdr:colOff>
      <xdr:row>17</xdr:row>
      <xdr:rowOff>171450</xdr:rowOff>
    </xdr:from>
    <xdr:to>
      <xdr:col>23</xdr:col>
      <xdr:colOff>125413</xdr:colOff>
      <xdr:row>21</xdr:row>
      <xdr:rowOff>113206</xdr:rowOff>
    </xdr:to>
    <xdr:sp macro="" textlink="">
      <xdr:nvSpPr>
        <xdr:cNvPr id="59" name="Rounded Rectangle 123">
          <a:extLst>
            <a:ext uri="{FF2B5EF4-FFF2-40B4-BE49-F238E27FC236}">
              <a16:creationId xmlns:a16="http://schemas.microsoft.com/office/drawing/2014/main" id="{F7FE8785-23A0-4D97-9B9A-C3FC6685542A}"/>
            </a:ext>
          </a:extLst>
        </xdr:cNvPr>
        <xdr:cNvSpPr/>
      </xdr:nvSpPr>
      <xdr:spPr>
        <a:xfrm>
          <a:off x="11582401" y="7524750"/>
          <a:ext cx="1998662" cy="703756"/>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 Motors</a:t>
          </a:r>
        </a:p>
      </xdr:txBody>
    </xdr:sp>
    <xdr:clientData/>
  </xdr:twoCellAnchor>
  <xdr:twoCellAnchor>
    <xdr:from>
      <xdr:col>21</xdr:col>
      <xdr:colOff>57150</xdr:colOff>
      <xdr:row>11</xdr:row>
      <xdr:rowOff>76200</xdr:rowOff>
    </xdr:from>
    <xdr:to>
      <xdr:col>24</xdr:col>
      <xdr:colOff>344487</xdr:colOff>
      <xdr:row>15</xdr:row>
      <xdr:rowOff>19050</xdr:rowOff>
    </xdr:to>
    <xdr:sp macro="" textlink="">
      <xdr:nvSpPr>
        <xdr:cNvPr id="60" name="Rounded Rectangle 193">
          <a:extLst>
            <a:ext uri="{FF2B5EF4-FFF2-40B4-BE49-F238E27FC236}">
              <a16:creationId xmlns:a16="http://schemas.microsoft.com/office/drawing/2014/main" id="{87F6E123-D288-4C96-8AD6-3ADBBC716F63}"/>
            </a:ext>
          </a:extLst>
        </xdr:cNvPr>
        <xdr:cNvSpPr/>
      </xdr:nvSpPr>
      <xdr:spPr>
        <a:xfrm>
          <a:off x="12296775" y="6286500"/>
          <a:ext cx="2116137"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2</xdr:col>
      <xdr:colOff>457200</xdr:colOff>
      <xdr:row>73</xdr:row>
      <xdr:rowOff>103187</xdr:rowOff>
    </xdr:from>
    <xdr:to>
      <xdr:col>11</xdr:col>
      <xdr:colOff>484187</xdr:colOff>
      <xdr:row>88</xdr:row>
      <xdr:rowOff>1587</xdr:rowOff>
    </xdr:to>
    <xdr:sp macro="" textlink="">
      <xdr:nvSpPr>
        <xdr:cNvPr id="61" name="Rounded Rectangle 327">
          <a:extLst>
            <a:ext uri="{FF2B5EF4-FFF2-40B4-BE49-F238E27FC236}">
              <a16:creationId xmlns:a16="http://schemas.microsoft.com/office/drawing/2014/main" id="{B4CA1F80-47A2-44D1-BA09-D6C8EB25B0B7}"/>
            </a:ext>
          </a:extLst>
        </xdr:cNvPr>
        <xdr:cNvSpPr/>
      </xdr:nvSpPr>
      <xdr:spPr>
        <a:xfrm>
          <a:off x="1228725" y="18127662"/>
          <a:ext cx="5202237" cy="2752725"/>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Raw Materials-Air Cooled:</a:t>
          </a:r>
        </a:p>
        <a:p>
          <a:pPr algn="ctr"/>
          <a:r>
            <a:rPr lang="en-US" sz="2800" b="1" u="none">
              <a:solidFill>
                <a:sysClr val="windowText" lastClr="000000"/>
              </a:solidFill>
            </a:rPr>
            <a:t>Heat Exchangers,</a:t>
          </a:r>
          <a:r>
            <a:rPr lang="en-US" sz="2800" b="1" u="none" baseline="0">
              <a:solidFill>
                <a:sysClr val="windowText" lastClr="000000"/>
              </a:solidFill>
            </a:rPr>
            <a:t> Fans, Compressors, Motors, Enclosures and Various Other Components </a:t>
          </a:r>
          <a:endParaRPr lang="en-US" sz="2800" b="1" u="none">
            <a:solidFill>
              <a:sysClr val="windowText" lastClr="000000"/>
            </a:solidFill>
          </a:endParaRPr>
        </a:p>
      </xdr:txBody>
    </xdr:sp>
    <xdr:clientData/>
  </xdr:twoCellAnchor>
  <xdr:twoCellAnchor>
    <xdr:from>
      <xdr:col>23</xdr:col>
      <xdr:colOff>542100</xdr:colOff>
      <xdr:row>46</xdr:row>
      <xdr:rowOff>85077</xdr:rowOff>
    </xdr:from>
    <xdr:to>
      <xdr:col>26</xdr:col>
      <xdr:colOff>514350</xdr:colOff>
      <xdr:row>49</xdr:row>
      <xdr:rowOff>30481</xdr:rowOff>
    </xdr:to>
    <xdr:sp macro="" textlink="">
      <xdr:nvSpPr>
        <xdr:cNvPr id="62" name="Right Arrow 143">
          <a:extLst>
            <a:ext uri="{FF2B5EF4-FFF2-40B4-BE49-F238E27FC236}">
              <a16:creationId xmlns:a16="http://schemas.microsoft.com/office/drawing/2014/main" id="{6CE71867-C63B-4247-96BB-EF8522475710}"/>
            </a:ext>
          </a:extLst>
        </xdr:cNvPr>
        <xdr:cNvSpPr/>
      </xdr:nvSpPr>
      <xdr:spPr>
        <a:xfrm rot="10800000">
          <a:off x="14004100" y="12966052"/>
          <a:ext cx="1797875" cy="510554"/>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28</xdr:col>
      <xdr:colOff>247650</xdr:colOff>
      <xdr:row>69</xdr:row>
      <xdr:rowOff>133350</xdr:rowOff>
    </xdr:from>
    <xdr:to>
      <xdr:col>31</xdr:col>
      <xdr:colOff>590549</xdr:colOff>
      <xdr:row>73</xdr:row>
      <xdr:rowOff>122237</xdr:rowOff>
    </xdr:to>
    <xdr:sp macro="" textlink="">
      <xdr:nvSpPr>
        <xdr:cNvPr id="63" name="Rounded Rectangle 156">
          <a:extLst>
            <a:ext uri="{FF2B5EF4-FFF2-40B4-BE49-F238E27FC236}">
              <a16:creationId xmlns:a16="http://schemas.microsoft.com/office/drawing/2014/main" id="{8F16FA6D-1E7C-49BE-8923-8514A67BC452}"/>
            </a:ext>
          </a:extLst>
        </xdr:cNvPr>
        <xdr:cNvSpPr/>
      </xdr:nvSpPr>
      <xdr:spPr>
        <a:xfrm>
          <a:off x="17040225" y="17392650"/>
          <a:ext cx="2314574" cy="754062"/>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Exhaust Fans</a:t>
          </a:r>
        </a:p>
      </xdr:txBody>
    </xdr:sp>
    <xdr:clientData/>
  </xdr:twoCellAnchor>
  <xdr:twoCellAnchor>
    <xdr:from>
      <xdr:col>20</xdr:col>
      <xdr:colOff>407987</xdr:colOff>
      <xdr:row>24</xdr:row>
      <xdr:rowOff>55562</xdr:rowOff>
    </xdr:from>
    <xdr:to>
      <xdr:col>25</xdr:col>
      <xdr:colOff>28576</xdr:colOff>
      <xdr:row>31</xdr:row>
      <xdr:rowOff>7936</xdr:rowOff>
    </xdr:to>
    <xdr:sp macro="" textlink="">
      <xdr:nvSpPr>
        <xdr:cNvPr id="64" name="Rounded Rectangle 191">
          <a:extLst>
            <a:ext uri="{FF2B5EF4-FFF2-40B4-BE49-F238E27FC236}">
              <a16:creationId xmlns:a16="http://schemas.microsoft.com/office/drawing/2014/main" id="{4777283A-4200-41CC-8490-2D15F9B170EA}"/>
            </a:ext>
          </a:extLst>
        </xdr:cNvPr>
        <xdr:cNvSpPr/>
      </xdr:nvSpPr>
      <xdr:spPr>
        <a:xfrm>
          <a:off x="11974512" y="8742362"/>
          <a:ext cx="2728914" cy="1289049"/>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Steel Plate</a:t>
          </a:r>
        </a:p>
        <a:p>
          <a:pPr algn="ctr"/>
          <a:r>
            <a:rPr lang="en-US" sz="3200" b="1" baseline="0">
              <a:solidFill>
                <a:sysClr val="windowText" lastClr="000000"/>
              </a:solidFill>
            </a:rPr>
            <a:t>Roll Forming</a:t>
          </a:r>
          <a:endParaRPr lang="en-US" sz="3200" b="1">
            <a:solidFill>
              <a:sysClr val="windowText" lastClr="000000"/>
            </a:solidFill>
          </a:endParaRPr>
        </a:p>
      </xdr:txBody>
    </xdr:sp>
    <xdr:clientData/>
  </xdr:twoCellAnchor>
  <xdr:twoCellAnchor>
    <xdr:from>
      <xdr:col>26</xdr:col>
      <xdr:colOff>674687</xdr:colOff>
      <xdr:row>25</xdr:row>
      <xdr:rowOff>141287</xdr:rowOff>
    </xdr:from>
    <xdr:to>
      <xdr:col>30</xdr:col>
      <xdr:colOff>569913</xdr:colOff>
      <xdr:row>32</xdr:row>
      <xdr:rowOff>93661</xdr:rowOff>
    </xdr:to>
    <xdr:sp macro="" textlink="">
      <xdr:nvSpPr>
        <xdr:cNvPr id="65" name="Rounded Rectangle 194">
          <a:extLst>
            <a:ext uri="{FF2B5EF4-FFF2-40B4-BE49-F238E27FC236}">
              <a16:creationId xmlns:a16="http://schemas.microsoft.com/office/drawing/2014/main" id="{334F5292-7CFB-4423-9FFE-7B790D9FF3BA}"/>
            </a:ext>
          </a:extLst>
        </xdr:cNvPr>
        <xdr:cNvSpPr/>
      </xdr:nvSpPr>
      <xdr:spPr>
        <a:xfrm>
          <a:off x="15965487" y="9021762"/>
          <a:ext cx="2759076" cy="1282699"/>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Vessel Welding</a:t>
          </a:r>
          <a:endParaRPr lang="en-US" sz="3200" b="1">
            <a:solidFill>
              <a:sysClr val="windowText" lastClr="000000"/>
            </a:solidFill>
          </a:endParaRPr>
        </a:p>
      </xdr:txBody>
    </xdr:sp>
    <xdr:clientData/>
  </xdr:twoCellAnchor>
  <xdr:twoCellAnchor>
    <xdr:from>
      <xdr:col>21</xdr:col>
      <xdr:colOff>38099</xdr:colOff>
      <xdr:row>85</xdr:row>
      <xdr:rowOff>163512</xdr:rowOff>
    </xdr:from>
    <xdr:to>
      <xdr:col>27</xdr:col>
      <xdr:colOff>125412</xdr:colOff>
      <xdr:row>92</xdr:row>
      <xdr:rowOff>171450</xdr:rowOff>
    </xdr:to>
    <xdr:sp macro="" textlink="">
      <xdr:nvSpPr>
        <xdr:cNvPr id="66" name="Rounded Rectangle 196">
          <a:extLst>
            <a:ext uri="{FF2B5EF4-FFF2-40B4-BE49-F238E27FC236}">
              <a16:creationId xmlns:a16="http://schemas.microsoft.com/office/drawing/2014/main" id="{EB6805DB-F2EB-4DB9-9328-93D1B3EA3596}"/>
            </a:ext>
          </a:extLst>
        </xdr:cNvPr>
        <xdr:cNvSpPr/>
      </xdr:nvSpPr>
      <xdr:spPr>
        <a:xfrm>
          <a:off x="12277724" y="20467637"/>
          <a:ext cx="3884613" cy="1344613"/>
        </a:xfrm>
        <a:prstGeom prst="roundRect">
          <a:avLst/>
        </a:prstGeom>
        <a:solidFill>
          <a:schemeClr val="accent5">
            <a:lumMod val="40000"/>
            <a:lumOff val="6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Water</a:t>
          </a:r>
          <a:r>
            <a:rPr lang="en-US" sz="3200" b="1" baseline="0">
              <a:solidFill>
                <a:sysClr val="windowText" lastClr="000000"/>
              </a:solidFill>
            </a:rPr>
            <a:t> Cooled Chiller Test Lab</a:t>
          </a:r>
          <a:endParaRPr lang="en-US" sz="3200" b="1">
            <a:solidFill>
              <a:sysClr val="windowText" lastClr="000000"/>
            </a:solidFill>
          </a:endParaRPr>
        </a:p>
      </xdr:txBody>
    </xdr:sp>
    <xdr:clientData/>
  </xdr:twoCellAnchor>
  <xdr:twoCellAnchor>
    <xdr:from>
      <xdr:col>26</xdr:col>
      <xdr:colOff>403225</xdr:colOff>
      <xdr:row>38</xdr:row>
      <xdr:rowOff>12700</xdr:rowOff>
    </xdr:from>
    <xdr:to>
      <xdr:col>30</xdr:col>
      <xdr:colOff>298451</xdr:colOff>
      <xdr:row>44</xdr:row>
      <xdr:rowOff>174625</xdr:rowOff>
    </xdr:to>
    <xdr:sp macro="" textlink="">
      <xdr:nvSpPr>
        <xdr:cNvPr id="67" name="Rounded Rectangle 198">
          <a:extLst>
            <a:ext uri="{FF2B5EF4-FFF2-40B4-BE49-F238E27FC236}">
              <a16:creationId xmlns:a16="http://schemas.microsoft.com/office/drawing/2014/main" id="{1080450E-AF7A-47F8-9399-86DDD317A055}"/>
            </a:ext>
          </a:extLst>
        </xdr:cNvPr>
        <xdr:cNvSpPr/>
      </xdr:nvSpPr>
      <xdr:spPr>
        <a:xfrm>
          <a:off x="15694025" y="11363325"/>
          <a:ext cx="2755901" cy="1311275"/>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Copper Tubing Insertion</a:t>
          </a:r>
          <a:endParaRPr lang="en-US" sz="3200" b="1">
            <a:solidFill>
              <a:sysClr val="windowText" lastClr="000000"/>
            </a:solidFill>
          </a:endParaRPr>
        </a:p>
      </xdr:txBody>
    </xdr:sp>
    <xdr:clientData/>
  </xdr:twoCellAnchor>
  <xdr:twoCellAnchor>
    <xdr:from>
      <xdr:col>12</xdr:col>
      <xdr:colOff>628651</xdr:colOff>
      <xdr:row>34</xdr:row>
      <xdr:rowOff>133350</xdr:rowOff>
    </xdr:from>
    <xdr:to>
      <xdr:col>19</xdr:col>
      <xdr:colOff>274639</xdr:colOff>
      <xdr:row>44</xdr:row>
      <xdr:rowOff>152400</xdr:rowOff>
    </xdr:to>
    <xdr:sp macro="" textlink="">
      <xdr:nvSpPr>
        <xdr:cNvPr id="68" name="Rounded Rectangle 199">
          <a:extLst>
            <a:ext uri="{FF2B5EF4-FFF2-40B4-BE49-F238E27FC236}">
              <a16:creationId xmlns:a16="http://schemas.microsoft.com/office/drawing/2014/main" id="{3DCE99FB-31BD-4327-A5F4-4CF43FAE3C51}"/>
            </a:ext>
          </a:extLst>
        </xdr:cNvPr>
        <xdr:cNvSpPr/>
      </xdr:nvSpPr>
      <xdr:spPr>
        <a:xfrm>
          <a:off x="7162801" y="10725150"/>
          <a:ext cx="4002088" cy="1924050"/>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Compressed Gas &amp; Hydrostatic Pressure</a:t>
          </a:r>
          <a:r>
            <a:rPr lang="en-US" sz="3200" b="1" baseline="0">
              <a:solidFill>
                <a:sysClr val="windowText" lastClr="000000"/>
              </a:solidFill>
            </a:rPr>
            <a:t> </a:t>
          </a:r>
          <a:r>
            <a:rPr lang="en-US" sz="3200" b="1">
              <a:solidFill>
                <a:sysClr val="windowText" lastClr="000000"/>
              </a:solidFill>
            </a:rPr>
            <a:t>Testing</a:t>
          </a:r>
        </a:p>
      </xdr:txBody>
    </xdr:sp>
    <xdr:clientData/>
  </xdr:twoCellAnchor>
  <xdr:twoCellAnchor>
    <xdr:from>
      <xdr:col>20</xdr:col>
      <xdr:colOff>428625</xdr:colOff>
      <xdr:row>37</xdr:row>
      <xdr:rowOff>196850</xdr:rowOff>
    </xdr:from>
    <xdr:to>
      <xdr:col>25</xdr:col>
      <xdr:colOff>53976</xdr:colOff>
      <xdr:row>44</xdr:row>
      <xdr:rowOff>180974</xdr:rowOff>
    </xdr:to>
    <xdr:sp macro="" textlink="">
      <xdr:nvSpPr>
        <xdr:cNvPr id="69" name="Rounded Rectangle 200">
          <a:extLst>
            <a:ext uri="{FF2B5EF4-FFF2-40B4-BE49-F238E27FC236}">
              <a16:creationId xmlns:a16="http://schemas.microsoft.com/office/drawing/2014/main" id="{A1A6BC0B-0412-488B-BB2C-DE44A5212927}"/>
            </a:ext>
          </a:extLst>
        </xdr:cNvPr>
        <xdr:cNvSpPr/>
      </xdr:nvSpPr>
      <xdr:spPr>
        <a:xfrm>
          <a:off x="11988800" y="11353800"/>
          <a:ext cx="2743201" cy="1327149"/>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Final Vessel Assembly</a:t>
          </a:r>
          <a:endParaRPr lang="en-US" sz="3200" b="1">
            <a:solidFill>
              <a:sysClr val="windowText" lastClr="000000"/>
            </a:solidFill>
          </a:endParaRPr>
        </a:p>
      </xdr:txBody>
    </xdr:sp>
    <xdr:clientData/>
  </xdr:twoCellAnchor>
  <xdr:twoCellAnchor>
    <xdr:from>
      <xdr:col>12</xdr:col>
      <xdr:colOff>168275</xdr:colOff>
      <xdr:row>59</xdr:row>
      <xdr:rowOff>0</xdr:rowOff>
    </xdr:from>
    <xdr:to>
      <xdr:col>16</xdr:col>
      <xdr:colOff>444501</xdr:colOff>
      <xdr:row>66</xdr:row>
      <xdr:rowOff>31749</xdr:rowOff>
    </xdr:to>
    <xdr:sp macro="" textlink="">
      <xdr:nvSpPr>
        <xdr:cNvPr id="70" name="Rounded Rectangle 209">
          <a:extLst>
            <a:ext uri="{FF2B5EF4-FFF2-40B4-BE49-F238E27FC236}">
              <a16:creationId xmlns:a16="http://schemas.microsoft.com/office/drawing/2014/main" id="{16B02E8E-2EF8-4793-8B13-85B1A33B3FD3}"/>
            </a:ext>
          </a:extLst>
        </xdr:cNvPr>
        <xdr:cNvSpPr/>
      </xdr:nvSpPr>
      <xdr:spPr>
        <a:xfrm>
          <a:off x="6721475" y="15354300"/>
          <a:ext cx="2717801" cy="1362074"/>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Compressor Assembly</a:t>
          </a:r>
          <a:endParaRPr lang="en-US" sz="3200" b="1">
            <a:solidFill>
              <a:sysClr val="windowText" lastClr="000000"/>
            </a:solidFill>
          </a:endParaRPr>
        </a:p>
      </xdr:txBody>
    </xdr:sp>
    <xdr:clientData/>
  </xdr:twoCellAnchor>
  <xdr:twoCellAnchor>
    <xdr:from>
      <xdr:col>18</xdr:col>
      <xdr:colOff>88900</xdr:colOff>
      <xdr:row>59</xdr:row>
      <xdr:rowOff>15875</xdr:rowOff>
    </xdr:from>
    <xdr:to>
      <xdr:col>22</xdr:col>
      <xdr:colOff>222251</xdr:colOff>
      <xdr:row>66</xdr:row>
      <xdr:rowOff>47624</xdr:rowOff>
    </xdr:to>
    <xdr:sp macro="" textlink="">
      <xdr:nvSpPr>
        <xdr:cNvPr id="71" name="Rounded Rectangle 211">
          <a:extLst>
            <a:ext uri="{FF2B5EF4-FFF2-40B4-BE49-F238E27FC236}">
              <a16:creationId xmlns:a16="http://schemas.microsoft.com/office/drawing/2014/main" id="{58F25B90-6EB9-4A34-BCEB-45C94E3714AF}"/>
            </a:ext>
          </a:extLst>
        </xdr:cNvPr>
        <xdr:cNvSpPr/>
      </xdr:nvSpPr>
      <xdr:spPr>
        <a:xfrm>
          <a:off x="10296525" y="15370175"/>
          <a:ext cx="2771776" cy="1368424"/>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Marriage Mount</a:t>
          </a:r>
          <a:endParaRPr lang="en-US" sz="3200" b="1">
            <a:solidFill>
              <a:sysClr val="windowText" lastClr="000000"/>
            </a:solidFill>
          </a:endParaRPr>
        </a:p>
      </xdr:txBody>
    </xdr:sp>
    <xdr:clientData/>
  </xdr:twoCellAnchor>
  <xdr:twoCellAnchor>
    <xdr:from>
      <xdr:col>23</xdr:col>
      <xdr:colOff>511175</xdr:colOff>
      <xdr:row>59</xdr:row>
      <xdr:rowOff>9525</xdr:rowOff>
    </xdr:from>
    <xdr:to>
      <xdr:col>27</xdr:col>
      <xdr:colOff>142875</xdr:colOff>
      <xdr:row>66</xdr:row>
      <xdr:rowOff>41274</xdr:rowOff>
    </xdr:to>
    <xdr:sp macro="" textlink="">
      <xdr:nvSpPr>
        <xdr:cNvPr id="72" name="Rounded Rectangle 212">
          <a:extLst>
            <a:ext uri="{FF2B5EF4-FFF2-40B4-BE49-F238E27FC236}">
              <a16:creationId xmlns:a16="http://schemas.microsoft.com/office/drawing/2014/main" id="{291D99D0-AF4D-428D-A58B-B301DF0F41E5}"/>
            </a:ext>
          </a:extLst>
        </xdr:cNvPr>
        <xdr:cNvSpPr/>
      </xdr:nvSpPr>
      <xdr:spPr>
        <a:xfrm>
          <a:off x="13970000" y="15360650"/>
          <a:ext cx="2209800" cy="1368424"/>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Paint</a:t>
          </a:r>
        </a:p>
        <a:p>
          <a:pPr algn="ctr"/>
          <a:r>
            <a:rPr lang="en-US" sz="3200" b="1" baseline="0">
              <a:solidFill>
                <a:sysClr val="windowText" lastClr="000000"/>
              </a:solidFill>
            </a:rPr>
            <a:t>Preparation</a:t>
          </a:r>
          <a:endParaRPr lang="en-US" sz="3200" b="1">
            <a:solidFill>
              <a:sysClr val="windowText" lastClr="000000"/>
            </a:solidFill>
          </a:endParaRPr>
        </a:p>
      </xdr:txBody>
    </xdr:sp>
    <xdr:clientData/>
  </xdr:twoCellAnchor>
  <xdr:twoCellAnchor>
    <xdr:from>
      <xdr:col>5</xdr:col>
      <xdr:colOff>619125</xdr:colOff>
      <xdr:row>53</xdr:row>
      <xdr:rowOff>95250</xdr:rowOff>
    </xdr:from>
    <xdr:to>
      <xdr:col>10</xdr:col>
      <xdr:colOff>427038</xdr:colOff>
      <xdr:row>66</xdr:row>
      <xdr:rowOff>0</xdr:rowOff>
    </xdr:to>
    <xdr:sp macro="" textlink="">
      <xdr:nvSpPr>
        <xdr:cNvPr id="73" name="Rounded Rectangle 213">
          <a:extLst>
            <a:ext uri="{FF2B5EF4-FFF2-40B4-BE49-F238E27FC236}">
              <a16:creationId xmlns:a16="http://schemas.microsoft.com/office/drawing/2014/main" id="{7C644248-1F96-4F38-9390-A158531EBD0F}"/>
            </a:ext>
          </a:extLst>
        </xdr:cNvPr>
        <xdr:cNvSpPr/>
      </xdr:nvSpPr>
      <xdr:spPr>
        <a:xfrm>
          <a:off x="3054350" y="14306550"/>
          <a:ext cx="2709863" cy="2381250"/>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Compressor Component Machining</a:t>
          </a:r>
          <a:endParaRPr lang="en-US" sz="3200" b="1">
            <a:solidFill>
              <a:sysClr val="windowText" lastClr="000000"/>
            </a:solidFill>
          </a:endParaRPr>
        </a:p>
      </xdr:txBody>
    </xdr:sp>
    <xdr:clientData/>
  </xdr:twoCellAnchor>
  <xdr:twoCellAnchor>
    <xdr:from>
      <xdr:col>12</xdr:col>
      <xdr:colOff>323850</xdr:colOff>
      <xdr:row>15</xdr:row>
      <xdr:rowOff>85724</xdr:rowOff>
    </xdr:from>
    <xdr:to>
      <xdr:col>18</xdr:col>
      <xdr:colOff>36513</xdr:colOff>
      <xdr:row>19</xdr:row>
      <xdr:rowOff>38099</xdr:rowOff>
    </xdr:to>
    <xdr:sp macro="" textlink="">
      <xdr:nvSpPr>
        <xdr:cNvPr id="74" name="Rounded Rectangle 219">
          <a:extLst>
            <a:ext uri="{FF2B5EF4-FFF2-40B4-BE49-F238E27FC236}">
              <a16:creationId xmlns:a16="http://schemas.microsoft.com/office/drawing/2014/main" id="{50E3F177-3FAB-43AE-BA5F-42B2E9467F4F}"/>
            </a:ext>
          </a:extLst>
        </xdr:cNvPr>
        <xdr:cNvSpPr/>
      </xdr:nvSpPr>
      <xdr:spPr>
        <a:xfrm>
          <a:off x="6877050" y="7061199"/>
          <a:ext cx="3370263" cy="711200"/>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 Plasma Cutters</a:t>
          </a:r>
        </a:p>
      </xdr:txBody>
    </xdr:sp>
    <xdr:clientData/>
  </xdr:twoCellAnchor>
  <xdr:twoCellAnchor>
    <xdr:from>
      <xdr:col>26</xdr:col>
      <xdr:colOff>552118</xdr:colOff>
      <xdr:row>19</xdr:row>
      <xdr:rowOff>1586</xdr:rowOff>
    </xdr:from>
    <xdr:to>
      <xdr:col>32</xdr:col>
      <xdr:colOff>209550</xdr:colOff>
      <xdr:row>22</xdr:row>
      <xdr:rowOff>114299</xdr:rowOff>
    </xdr:to>
    <xdr:sp macro="" textlink="">
      <xdr:nvSpPr>
        <xdr:cNvPr id="75" name="Rounded Rectangle 220">
          <a:extLst>
            <a:ext uri="{FF2B5EF4-FFF2-40B4-BE49-F238E27FC236}">
              <a16:creationId xmlns:a16="http://schemas.microsoft.com/office/drawing/2014/main" id="{7A40EC70-2684-420E-A8D2-713C9EB77E97}"/>
            </a:ext>
          </a:extLst>
        </xdr:cNvPr>
        <xdr:cNvSpPr/>
      </xdr:nvSpPr>
      <xdr:spPr>
        <a:xfrm>
          <a:off x="15839743" y="7735886"/>
          <a:ext cx="3905582" cy="68421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Welder</a:t>
          </a:r>
          <a:r>
            <a:rPr lang="en-US" sz="2800" b="1" baseline="0">
              <a:solidFill>
                <a:sysClr val="windowText" lastClr="000000"/>
              </a:solidFill>
            </a:rPr>
            <a:t> Power Supplies</a:t>
          </a:r>
          <a:endParaRPr lang="en-US" sz="2800" b="1">
            <a:solidFill>
              <a:sysClr val="windowText" lastClr="000000"/>
            </a:solidFill>
          </a:endParaRPr>
        </a:p>
      </xdr:txBody>
    </xdr:sp>
    <xdr:clientData/>
  </xdr:twoCellAnchor>
  <xdr:twoCellAnchor>
    <xdr:from>
      <xdr:col>19</xdr:col>
      <xdr:colOff>514018</xdr:colOff>
      <xdr:row>46</xdr:row>
      <xdr:rowOff>68262</xdr:rowOff>
    </xdr:from>
    <xdr:to>
      <xdr:col>23</xdr:col>
      <xdr:colOff>533400</xdr:colOff>
      <xdr:row>50</xdr:row>
      <xdr:rowOff>152400</xdr:rowOff>
    </xdr:to>
    <xdr:sp macro="" textlink="">
      <xdr:nvSpPr>
        <xdr:cNvPr id="76" name="Rounded Rectangle 224">
          <a:extLst>
            <a:ext uri="{FF2B5EF4-FFF2-40B4-BE49-F238E27FC236}">
              <a16:creationId xmlns:a16="http://schemas.microsoft.com/office/drawing/2014/main" id="{5FE56EA9-72B1-4206-977A-90993A2AA267}"/>
            </a:ext>
          </a:extLst>
        </xdr:cNvPr>
        <xdr:cNvSpPr/>
      </xdr:nvSpPr>
      <xdr:spPr>
        <a:xfrm>
          <a:off x="11401093" y="12942887"/>
          <a:ext cx="2591132" cy="84931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Hydro Pumps</a:t>
          </a:r>
        </a:p>
      </xdr:txBody>
    </xdr:sp>
    <xdr:clientData/>
  </xdr:twoCellAnchor>
  <xdr:twoCellAnchor>
    <xdr:from>
      <xdr:col>7</xdr:col>
      <xdr:colOff>620586</xdr:colOff>
      <xdr:row>49</xdr:row>
      <xdr:rowOff>771</xdr:rowOff>
    </xdr:from>
    <xdr:to>
      <xdr:col>8</xdr:col>
      <xdr:colOff>592011</xdr:colOff>
      <xdr:row>53</xdr:row>
      <xdr:rowOff>104627</xdr:rowOff>
    </xdr:to>
    <xdr:sp macro="" textlink="">
      <xdr:nvSpPr>
        <xdr:cNvPr id="77" name="Right Arrow 227">
          <a:extLst>
            <a:ext uri="{FF2B5EF4-FFF2-40B4-BE49-F238E27FC236}">
              <a16:creationId xmlns:a16="http://schemas.microsoft.com/office/drawing/2014/main" id="{7AB9CA56-DB3C-45E7-9A39-3266BD09002A}"/>
            </a:ext>
          </a:extLst>
        </xdr:cNvPr>
        <xdr:cNvSpPr/>
      </xdr:nvSpPr>
      <xdr:spPr>
        <a:xfrm rot="5400000">
          <a:off x="4137358" y="13587724"/>
          <a:ext cx="869031" cy="593725"/>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209550</xdr:colOff>
      <xdr:row>88</xdr:row>
      <xdr:rowOff>122237</xdr:rowOff>
    </xdr:from>
    <xdr:to>
      <xdr:col>17</xdr:col>
      <xdr:colOff>477202</xdr:colOff>
      <xdr:row>97</xdr:row>
      <xdr:rowOff>20637</xdr:rowOff>
    </xdr:to>
    <xdr:sp macro="" textlink="">
      <xdr:nvSpPr>
        <xdr:cNvPr id="78" name="Rounded Rectangle 233">
          <a:extLst>
            <a:ext uri="{FF2B5EF4-FFF2-40B4-BE49-F238E27FC236}">
              <a16:creationId xmlns:a16="http://schemas.microsoft.com/office/drawing/2014/main" id="{8E8CC2DD-7D13-4F74-838A-83241CA8B0E3}"/>
            </a:ext>
          </a:extLst>
        </xdr:cNvPr>
        <xdr:cNvSpPr/>
      </xdr:nvSpPr>
      <xdr:spPr>
        <a:xfrm>
          <a:off x="6762750" y="21004212"/>
          <a:ext cx="3315652" cy="1609725"/>
        </a:xfrm>
        <a:prstGeom prst="roundRect">
          <a:avLst/>
        </a:prstGeom>
        <a:solidFill>
          <a:schemeClr val="accent5">
            <a:lumMod val="40000"/>
            <a:lumOff val="6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Air Cooled Unit  Test Area</a:t>
          </a:r>
        </a:p>
      </xdr:txBody>
    </xdr:sp>
    <xdr:clientData/>
  </xdr:twoCellAnchor>
  <xdr:twoCellAnchor>
    <xdr:from>
      <xdr:col>27</xdr:col>
      <xdr:colOff>485775</xdr:colOff>
      <xdr:row>13</xdr:row>
      <xdr:rowOff>0</xdr:rowOff>
    </xdr:from>
    <xdr:to>
      <xdr:col>31</xdr:col>
      <xdr:colOff>209550</xdr:colOff>
      <xdr:row>16</xdr:row>
      <xdr:rowOff>152399</xdr:rowOff>
    </xdr:to>
    <xdr:sp macro="" textlink="">
      <xdr:nvSpPr>
        <xdr:cNvPr id="79" name="Rounded Rectangle 243">
          <a:extLst>
            <a:ext uri="{FF2B5EF4-FFF2-40B4-BE49-F238E27FC236}">
              <a16:creationId xmlns:a16="http://schemas.microsoft.com/office/drawing/2014/main" id="{72A1B8C1-6193-408D-B0C4-0ED79115E29D}"/>
            </a:ext>
          </a:extLst>
        </xdr:cNvPr>
        <xdr:cNvSpPr/>
      </xdr:nvSpPr>
      <xdr:spPr>
        <a:xfrm>
          <a:off x="16522700" y="6591300"/>
          <a:ext cx="2451100" cy="723899"/>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Exhaust Fans</a:t>
          </a:r>
        </a:p>
      </xdr:txBody>
    </xdr:sp>
    <xdr:clientData/>
  </xdr:twoCellAnchor>
  <xdr:twoCellAnchor>
    <xdr:from>
      <xdr:col>13</xdr:col>
      <xdr:colOff>7937</xdr:colOff>
      <xdr:row>77</xdr:row>
      <xdr:rowOff>125412</xdr:rowOff>
    </xdr:from>
    <xdr:to>
      <xdr:col>17</xdr:col>
      <xdr:colOff>323851</xdr:colOff>
      <xdr:row>84</xdr:row>
      <xdr:rowOff>152399</xdr:rowOff>
    </xdr:to>
    <xdr:sp macro="" textlink="">
      <xdr:nvSpPr>
        <xdr:cNvPr id="80" name="Rounded Rectangle 325">
          <a:extLst>
            <a:ext uri="{FF2B5EF4-FFF2-40B4-BE49-F238E27FC236}">
              <a16:creationId xmlns:a16="http://schemas.microsoft.com/office/drawing/2014/main" id="{B5B8A7EA-910F-4129-9C18-7F5CEF398FC2}"/>
            </a:ext>
          </a:extLst>
        </xdr:cNvPr>
        <xdr:cNvSpPr/>
      </xdr:nvSpPr>
      <xdr:spPr>
        <a:xfrm>
          <a:off x="7173912" y="18905537"/>
          <a:ext cx="2751139" cy="1363662"/>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baseline="0">
              <a:solidFill>
                <a:sysClr val="windowText" lastClr="000000"/>
              </a:solidFill>
            </a:rPr>
            <a:t>Air Cooled Unit Assembly Lines</a:t>
          </a:r>
          <a:endParaRPr lang="en-US" sz="3200" b="1">
            <a:solidFill>
              <a:sysClr val="windowText" lastClr="000000"/>
            </a:solidFill>
          </a:endParaRPr>
        </a:p>
      </xdr:txBody>
    </xdr:sp>
    <xdr:clientData/>
  </xdr:twoCellAnchor>
  <xdr:twoCellAnchor>
    <xdr:from>
      <xdr:col>7</xdr:col>
      <xdr:colOff>57150</xdr:colOff>
      <xdr:row>98</xdr:row>
      <xdr:rowOff>144462</xdr:rowOff>
    </xdr:from>
    <xdr:to>
      <xdr:col>12</xdr:col>
      <xdr:colOff>342900</xdr:colOff>
      <xdr:row>107</xdr:row>
      <xdr:rowOff>133350</xdr:rowOff>
    </xdr:to>
    <xdr:sp macro="" textlink="">
      <xdr:nvSpPr>
        <xdr:cNvPr id="81" name="Rounded Rectangle 326">
          <a:extLst>
            <a:ext uri="{FF2B5EF4-FFF2-40B4-BE49-F238E27FC236}">
              <a16:creationId xmlns:a16="http://schemas.microsoft.com/office/drawing/2014/main" id="{3145B5BF-F64D-4BD4-8C5F-80DCABD1D1F2}"/>
            </a:ext>
          </a:extLst>
        </xdr:cNvPr>
        <xdr:cNvSpPr/>
      </xdr:nvSpPr>
      <xdr:spPr>
        <a:xfrm>
          <a:off x="3724275" y="22925087"/>
          <a:ext cx="3171825" cy="1668463"/>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Hot Water Heaters to Load Air Cooled</a:t>
          </a:r>
          <a:r>
            <a:rPr lang="en-US" sz="2800" b="1" baseline="0">
              <a:solidFill>
                <a:sysClr val="windowText" lastClr="000000"/>
              </a:solidFill>
            </a:rPr>
            <a:t> Chillers</a:t>
          </a:r>
          <a:endParaRPr lang="en-US" sz="2800" b="1">
            <a:solidFill>
              <a:sysClr val="windowText" lastClr="000000"/>
            </a:solidFill>
          </a:endParaRPr>
        </a:p>
      </xdr:txBody>
    </xdr:sp>
    <xdr:clientData/>
  </xdr:twoCellAnchor>
  <xdr:twoCellAnchor>
    <xdr:from>
      <xdr:col>5</xdr:col>
      <xdr:colOff>246063</xdr:colOff>
      <xdr:row>110</xdr:row>
      <xdr:rowOff>134147</xdr:rowOff>
    </xdr:from>
    <xdr:to>
      <xdr:col>8</xdr:col>
      <xdr:colOff>436562</xdr:colOff>
      <xdr:row>114</xdr:row>
      <xdr:rowOff>114300</xdr:rowOff>
    </xdr:to>
    <xdr:sp macro="" textlink="">
      <xdr:nvSpPr>
        <xdr:cNvPr id="82" name="Rounded Rectangle 328">
          <a:extLst>
            <a:ext uri="{FF2B5EF4-FFF2-40B4-BE49-F238E27FC236}">
              <a16:creationId xmlns:a16="http://schemas.microsoft.com/office/drawing/2014/main" id="{4A9E79D3-4103-466F-9FA0-F43E9CE72314}"/>
            </a:ext>
          </a:extLst>
        </xdr:cNvPr>
        <xdr:cNvSpPr/>
      </xdr:nvSpPr>
      <xdr:spPr>
        <a:xfrm>
          <a:off x="2693988" y="25137272"/>
          <a:ext cx="2019299" cy="704053"/>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Natural Gas</a:t>
          </a:r>
        </a:p>
      </xdr:txBody>
    </xdr:sp>
    <xdr:clientData/>
  </xdr:twoCellAnchor>
  <xdr:twoCellAnchor>
    <xdr:from>
      <xdr:col>27</xdr:col>
      <xdr:colOff>323851</xdr:colOff>
      <xdr:row>93</xdr:row>
      <xdr:rowOff>57151</xdr:rowOff>
    </xdr:from>
    <xdr:to>
      <xdr:col>31</xdr:col>
      <xdr:colOff>133350</xdr:colOff>
      <xdr:row>100</xdr:row>
      <xdr:rowOff>57151</xdr:rowOff>
    </xdr:to>
    <xdr:sp macro="" textlink="">
      <xdr:nvSpPr>
        <xdr:cNvPr id="83" name="Rounded Rectangle 340">
          <a:extLst>
            <a:ext uri="{FF2B5EF4-FFF2-40B4-BE49-F238E27FC236}">
              <a16:creationId xmlns:a16="http://schemas.microsoft.com/office/drawing/2014/main" id="{39BDF1CC-EE57-41D9-9E8C-4F9EE732E22B}"/>
            </a:ext>
          </a:extLst>
        </xdr:cNvPr>
        <xdr:cNvSpPr/>
      </xdr:nvSpPr>
      <xdr:spPr>
        <a:xfrm>
          <a:off x="16363951" y="21888451"/>
          <a:ext cx="2533649" cy="1333500"/>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Test Water to Load Chillers</a:t>
          </a:r>
        </a:p>
      </xdr:txBody>
    </xdr:sp>
    <xdr:clientData/>
  </xdr:twoCellAnchor>
  <xdr:twoCellAnchor>
    <xdr:from>
      <xdr:col>18</xdr:col>
      <xdr:colOff>381000</xdr:colOff>
      <xdr:row>78</xdr:row>
      <xdr:rowOff>95250</xdr:rowOff>
    </xdr:from>
    <xdr:to>
      <xdr:col>24</xdr:col>
      <xdr:colOff>627063</xdr:colOff>
      <xdr:row>83</xdr:row>
      <xdr:rowOff>27048</xdr:rowOff>
    </xdr:to>
    <xdr:sp macro="" textlink="">
      <xdr:nvSpPr>
        <xdr:cNvPr id="84" name="Rounded Rectangle 376">
          <a:extLst>
            <a:ext uri="{FF2B5EF4-FFF2-40B4-BE49-F238E27FC236}">
              <a16:creationId xmlns:a16="http://schemas.microsoft.com/office/drawing/2014/main" id="{C5E3A7E0-238D-49E0-A060-E31A87A94B0F}"/>
            </a:ext>
          </a:extLst>
        </xdr:cNvPr>
        <xdr:cNvSpPr/>
      </xdr:nvSpPr>
      <xdr:spPr>
        <a:xfrm>
          <a:off x="10591800" y="19069050"/>
          <a:ext cx="4084638" cy="88747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Chiller</a:t>
          </a:r>
          <a:r>
            <a:rPr lang="en-US" sz="2800" b="1" baseline="0">
              <a:solidFill>
                <a:sysClr val="windowText" lastClr="000000"/>
              </a:solidFill>
            </a:rPr>
            <a:t> </a:t>
          </a:r>
          <a:r>
            <a:rPr lang="en-US" sz="2800" b="1">
              <a:solidFill>
                <a:sysClr val="windowText" lastClr="000000"/>
              </a:solidFill>
            </a:rPr>
            <a:t>Compressor</a:t>
          </a:r>
          <a:r>
            <a:rPr lang="en-US" sz="2800" b="1" baseline="0">
              <a:solidFill>
                <a:sysClr val="windowText" lastClr="000000"/>
              </a:solidFill>
            </a:rPr>
            <a:t> Motors</a:t>
          </a:r>
          <a:endParaRPr lang="en-US" sz="2800" b="1">
            <a:solidFill>
              <a:sysClr val="windowText" lastClr="000000"/>
            </a:solidFill>
          </a:endParaRPr>
        </a:p>
      </xdr:txBody>
    </xdr:sp>
    <xdr:clientData/>
  </xdr:twoCellAnchor>
  <xdr:twoCellAnchor>
    <xdr:from>
      <xdr:col>2</xdr:col>
      <xdr:colOff>285750</xdr:colOff>
      <xdr:row>91</xdr:row>
      <xdr:rowOff>133350</xdr:rowOff>
    </xdr:from>
    <xdr:to>
      <xdr:col>10</xdr:col>
      <xdr:colOff>627063</xdr:colOff>
      <xdr:row>96</xdr:row>
      <xdr:rowOff>27048</xdr:rowOff>
    </xdr:to>
    <xdr:sp macro="" textlink="">
      <xdr:nvSpPr>
        <xdr:cNvPr id="85" name="Rounded Rectangle 377">
          <a:extLst>
            <a:ext uri="{FF2B5EF4-FFF2-40B4-BE49-F238E27FC236}">
              <a16:creationId xmlns:a16="http://schemas.microsoft.com/office/drawing/2014/main" id="{5DC0641B-3912-4B0F-B30C-2E9AF1EDD592}"/>
            </a:ext>
          </a:extLst>
        </xdr:cNvPr>
        <xdr:cNvSpPr/>
      </xdr:nvSpPr>
      <xdr:spPr>
        <a:xfrm>
          <a:off x="1104900" y="21583650"/>
          <a:ext cx="4837113" cy="84937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Compressor</a:t>
          </a:r>
          <a:r>
            <a:rPr lang="en-US" sz="2800" b="1" baseline="0">
              <a:solidFill>
                <a:sysClr val="windowText" lastClr="000000"/>
              </a:solidFill>
            </a:rPr>
            <a:t> and Fan Motors</a:t>
          </a:r>
          <a:endParaRPr lang="en-US" sz="2800" b="1">
            <a:solidFill>
              <a:sysClr val="windowText" lastClr="000000"/>
            </a:solidFill>
          </a:endParaRPr>
        </a:p>
      </xdr:txBody>
    </xdr:sp>
    <xdr:clientData/>
  </xdr:twoCellAnchor>
  <xdr:twoCellAnchor>
    <xdr:from>
      <xdr:col>13</xdr:col>
      <xdr:colOff>114300</xdr:colOff>
      <xdr:row>48</xdr:row>
      <xdr:rowOff>7936</xdr:rowOff>
    </xdr:from>
    <xdr:to>
      <xdr:col>18</xdr:col>
      <xdr:colOff>95250</xdr:colOff>
      <xdr:row>51</xdr:row>
      <xdr:rowOff>133349</xdr:rowOff>
    </xdr:to>
    <xdr:sp macro="" textlink="">
      <xdr:nvSpPr>
        <xdr:cNvPr id="86" name="Rounded Rectangle 387">
          <a:extLst>
            <a:ext uri="{FF2B5EF4-FFF2-40B4-BE49-F238E27FC236}">
              <a16:creationId xmlns:a16="http://schemas.microsoft.com/office/drawing/2014/main" id="{338D7ABF-E39A-4378-B89C-92505D51D29B}"/>
            </a:ext>
          </a:extLst>
        </xdr:cNvPr>
        <xdr:cNvSpPr/>
      </xdr:nvSpPr>
      <xdr:spPr>
        <a:xfrm>
          <a:off x="7277100" y="13269911"/>
          <a:ext cx="3028950" cy="693738"/>
        </a:xfrm>
        <a:prstGeom prst="round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Used Hydro Water</a:t>
          </a:r>
        </a:p>
      </xdr:txBody>
    </xdr:sp>
    <xdr:clientData/>
  </xdr:twoCellAnchor>
  <xdr:twoCellAnchor>
    <xdr:from>
      <xdr:col>18</xdr:col>
      <xdr:colOff>598487</xdr:colOff>
      <xdr:row>95</xdr:row>
      <xdr:rowOff>112712</xdr:rowOff>
    </xdr:from>
    <xdr:to>
      <xdr:col>23</xdr:col>
      <xdr:colOff>114300</xdr:colOff>
      <xdr:row>99</xdr:row>
      <xdr:rowOff>76200</xdr:rowOff>
    </xdr:to>
    <xdr:sp macro="" textlink="">
      <xdr:nvSpPr>
        <xdr:cNvPr id="87" name="Rounded Rectangle 388">
          <a:extLst>
            <a:ext uri="{FF2B5EF4-FFF2-40B4-BE49-F238E27FC236}">
              <a16:creationId xmlns:a16="http://schemas.microsoft.com/office/drawing/2014/main" id="{7DFC7D13-8742-410A-9610-BF24A0EB4105}"/>
            </a:ext>
          </a:extLst>
        </xdr:cNvPr>
        <xdr:cNvSpPr/>
      </xdr:nvSpPr>
      <xdr:spPr>
        <a:xfrm>
          <a:off x="10812462" y="22325012"/>
          <a:ext cx="2760663" cy="725488"/>
        </a:xfrm>
        <a:prstGeom prst="round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Used Test Water</a:t>
          </a:r>
        </a:p>
      </xdr:txBody>
    </xdr:sp>
    <xdr:clientData/>
  </xdr:twoCellAnchor>
  <xdr:twoCellAnchor>
    <xdr:from>
      <xdr:col>28</xdr:col>
      <xdr:colOff>103188</xdr:colOff>
      <xdr:row>82</xdr:row>
      <xdr:rowOff>133350</xdr:rowOff>
    </xdr:from>
    <xdr:to>
      <xdr:col>31</xdr:col>
      <xdr:colOff>274637</xdr:colOff>
      <xdr:row>86</xdr:row>
      <xdr:rowOff>87373</xdr:rowOff>
    </xdr:to>
    <xdr:sp macro="" textlink="">
      <xdr:nvSpPr>
        <xdr:cNvPr id="88" name="Rounded Rectangle 225">
          <a:extLst>
            <a:ext uri="{FF2B5EF4-FFF2-40B4-BE49-F238E27FC236}">
              <a16:creationId xmlns:a16="http://schemas.microsoft.com/office/drawing/2014/main" id="{204F9000-7B80-4FE8-A131-10E1DE6C05E3}"/>
            </a:ext>
          </a:extLst>
        </xdr:cNvPr>
        <xdr:cNvSpPr/>
      </xdr:nvSpPr>
      <xdr:spPr>
        <a:xfrm>
          <a:off x="16898938" y="19869150"/>
          <a:ext cx="2143124" cy="712848"/>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Test Pumps</a:t>
          </a:r>
        </a:p>
      </xdr:txBody>
    </xdr:sp>
    <xdr:clientData/>
  </xdr:twoCellAnchor>
  <xdr:twoCellAnchor>
    <xdr:from>
      <xdr:col>31</xdr:col>
      <xdr:colOff>266604</xdr:colOff>
      <xdr:row>62</xdr:row>
      <xdr:rowOff>114300</xdr:rowOff>
    </xdr:from>
    <xdr:to>
      <xdr:col>31</xdr:col>
      <xdr:colOff>790558</xdr:colOff>
      <xdr:row>67</xdr:row>
      <xdr:rowOff>182319</xdr:rowOff>
    </xdr:to>
    <xdr:sp macro="" textlink="">
      <xdr:nvSpPr>
        <xdr:cNvPr id="89" name="Down Arrow 305">
          <a:extLst>
            <a:ext uri="{FF2B5EF4-FFF2-40B4-BE49-F238E27FC236}">
              <a16:creationId xmlns:a16="http://schemas.microsoft.com/office/drawing/2014/main" id="{AEF24806-46D9-4E55-AEC0-62ABD5D2198E}"/>
            </a:ext>
          </a:extLst>
        </xdr:cNvPr>
        <xdr:cNvSpPr/>
      </xdr:nvSpPr>
      <xdr:spPr>
        <a:xfrm>
          <a:off x="19030854" y="16040100"/>
          <a:ext cx="508079" cy="1017344"/>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27</xdr:col>
      <xdr:colOff>704850</xdr:colOff>
      <xdr:row>58</xdr:row>
      <xdr:rowOff>114300</xdr:rowOff>
    </xdr:from>
    <xdr:to>
      <xdr:col>32</xdr:col>
      <xdr:colOff>114300</xdr:colOff>
      <xdr:row>64</xdr:row>
      <xdr:rowOff>171450</xdr:rowOff>
    </xdr:to>
    <xdr:sp macro="" textlink="">
      <xdr:nvSpPr>
        <xdr:cNvPr id="90" name="Rounded Rectangle 330">
          <a:extLst>
            <a:ext uri="{FF2B5EF4-FFF2-40B4-BE49-F238E27FC236}">
              <a16:creationId xmlns:a16="http://schemas.microsoft.com/office/drawing/2014/main" id="{3A0364C5-2861-476F-97C5-A72FC90B2340}"/>
            </a:ext>
          </a:extLst>
        </xdr:cNvPr>
        <xdr:cNvSpPr/>
      </xdr:nvSpPr>
      <xdr:spPr>
        <a:xfrm>
          <a:off x="16744950" y="15278100"/>
          <a:ext cx="2905125" cy="1200150"/>
        </a:xfrm>
        <a:prstGeom prst="round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Dirty Paint</a:t>
          </a:r>
        </a:p>
        <a:p>
          <a:pPr algn="ctr"/>
          <a:r>
            <a:rPr lang="en-US" sz="2800" b="1">
              <a:solidFill>
                <a:sysClr val="windowText" lastClr="000000"/>
              </a:solidFill>
            </a:rPr>
            <a:t>Prep Water</a:t>
          </a:r>
        </a:p>
      </xdr:txBody>
    </xdr:sp>
    <xdr:clientData/>
  </xdr:twoCellAnchor>
  <xdr:twoCellAnchor>
    <xdr:from>
      <xdr:col>28</xdr:col>
      <xdr:colOff>36106</xdr:colOff>
      <xdr:row>103</xdr:row>
      <xdr:rowOff>133350</xdr:rowOff>
    </xdr:from>
    <xdr:to>
      <xdr:col>32</xdr:col>
      <xdr:colOff>247650</xdr:colOff>
      <xdr:row>112</xdr:row>
      <xdr:rowOff>95250</xdr:rowOff>
    </xdr:to>
    <xdr:sp macro="" textlink="">
      <xdr:nvSpPr>
        <xdr:cNvPr id="91" name="Rounded Rectangle 332">
          <a:extLst>
            <a:ext uri="{FF2B5EF4-FFF2-40B4-BE49-F238E27FC236}">
              <a16:creationId xmlns:a16="http://schemas.microsoft.com/office/drawing/2014/main" id="{0DAF051E-DA8E-4904-89A6-9556852A1D4D}"/>
            </a:ext>
          </a:extLst>
        </xdr:cNvPr>
        <xdr:cNvSpPr/>
      </xdr:nvSpPr>
      <xdr:spPr>
        <a:xfrm>
          <a:off x="16828681" y="23869650"/>
          <a:ext cx="2954744" cy="1590675"/>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Test Lab</a:t>
          </a:r>
          <a:r>
            <a:rPr lang="en-US" sz="3200" b="1" baseline="0">
              <a:solidFill>
                <a:sysClr val="windowText" lastClr="000000"/>
              </a:solidFill>
            </a:rPr>
            <a:t> Water Control System</a:t>
          </a:r>
          <a:endParaRPr lang="en-US" sz="3200" b="1">
            <a:solidFill>
              <a:sysClr val="windowText" lastClr="000000"/>
            </a:solidFill>
          </a:endParaRPr>
        </a:p>
      </xdr:txBody>
    </xdr:sp>
    <xdr:clientData/>
  </xdr:twoCellAnchor>
  <xdr:twoCellAnchor>
    <xdr:from>
      <xdr:col>17</xdr:col>
      <xdr:colOff>400567</xdr:colOff>
      <xdr:row>8</xdr:row>
      <xdr:rowOff>333423</xdr:rowOff>
    </xdr:from>
    <xdr:to>
      <xdr:col>19</xdr:col>
      <xdr:colOff>285750</xdr:colOff>
      <xdr:row>8</xdr:row>
      <xdr:rowOff>342900</xdr:rowOff>
    </xdr:to>
    <xdr:cxnSp macro="">
      <xdr:nvCxnSpPr>
        <xdr:cNvPr id="92" name="Straight Arrow Connector 91">
          <a:extLst>
            <a:ext uri="{FF2B5EF4-FFF2-40B4-BE49-F238E27FC236}">
              <a16:creationId xmlns:a16="http://schemas.microsoft.com/office/drawing/2014/main" id="{086A41B5-FAFD-4361-8100-95DB279791BE}"/>
            </a:ext>
          </a:extLst>
        </xdr:cNvPr>
        <xdr:cNvCxnSpPr/>
      </xdr:nvCxnSpPr>
      <xdr:spPr>
        <a:xfrm flipH="1" flipV="1">
          <a:off x="10001767" y="5264198"/>
          <a:ext cx="1171058" cy="12652"/>
        </a:xfrm>
        <a:prstGeom prst="straightConnector1">
          <a:avLst/>
        </a:prstGeom>
        <a:noFill/>
        <a:ln w="76200" cap="flat" cmpd="sng" algn="ctr">
          <a:solidFill>
            <a:srgbClr val="FF00FF"/>
          </a:solidFill>
          <a:prstDash val="solid"/>
          <a:tailEnd type="triangle"/>
        </a:ln>
        <a:effectLst/>
      </xdr:spPr>
    </xdr:cxnSp>
    <xdr:clientData/>
  </xdr:twoCellAnchor>
  <xdr:twoCellAnchor>
    <xdr:from>
      <xdr:col>11</xdr:col>
      <xdr:colOff>663138</xdr:colOff>
      <xdr:row>8</xdr:row>
      <xdr:rowOff>319699</xdr:rowOff>
    </xdr:from>
    <xdr:to>
      <xdr:col>13</xdr:col>
      <xdr:colOff>623570</xdr:colOff>
      <xdr:row>8</xdr:row>
      <xdr:rowOff>324827</xdr:rowOff>
    </xdr:to>
    <xdr:cxnSp macro="">
      <xdr:nvCxnSpPr>
        <xdr:cNvPr id="93" name="Straight Arrow Connector 92">
          <a:extLst>
            <a:ext uri="{FF2B5EF4-FFF2-40B4-BE49-F238E27FC236}">
              <a16:creationId xmlns:a16="http://schemas.microsoft.com/office/drawing/2014/main" id="{756BDDDB-4BE1-404E-88A4-E6CB37207E06}"/>
            </a:ext>
          </a:extLst>
        </xdr:cNvPr>
        <xdr:cNvCxnSpPr/>
      </xdr:nvCxnSpPr>
      <xdr:spPr>
        <a:xfrm flipH="1">
          <a:off x="6555938" y="5250474"/>
          <a:ext cx="1217732" cy="8303"/>
        </a:xfrm>
        <a:prstGeom prst="straightConnector1">
          <a:avLst/>
        </a:prstGeom>
        <a:noFill/>
        <a:ln w="76200" cap="flat" cmpd="sng" algn="ctr">
          <a:solidFill>
            <a:srgbClr val="0000FF"/>
          </a:solidFill>
          <a:prstDash val="solid"/>
          <a:tailEnd type="triangle"/>
        </a:ln>
        <a:effectLst/>
      </xdr:spPr>
    </xdr:cxnSp>
    <xdr:clientData/>
  </xdr:twoCellAnchor>
  <xdr:twoCellAnchor>
    <xdr:from>
      <xdr:col>26</xdr:col>
      <xdr:colOff>361950</xdr:colOff>
      <xdr:row>46</xdr:row>
      <xdr:rowOff>95250</xdr:rowOff>
    </xdr:from>
    <xdr:to>
      <xdr:col>29</xdr:col>
      <xdr:colOff>249237</xdr:colOff>
      <xdr:row>50</xdr:row>
      <xdr:rowOff>38100</xdr:rowOff>
    </xdr:to>
    <xdr:sp macro="" textlink="">
      <xdr:nvSpPr>
        <xdr:cNvPr id="94" name="Rounded Rectangle 193">
          <a:extLst>
            <a:ext uri="{FF2B5EF4-FFF2-40B4-BE49-F238E27FC236}">
              <a16:creationId xmlns:a16="http://schemas.microsoft.com/office/drawing/2014/main" id="{D57C1023-FFCB-4381-920D-64BF6EA7A63B}"/>
            </a:ext>
          </a:extLst>
        </xdr:cNvPr>
        <xdr:cNvSpPr/>
      </xdr:nvSpPr>
      <xdr:spPr>
        <a:xfrm>
          <a:off x="15649575" y="12973050"/>
          <a:ext cx="2144712"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6</xdr:col>
      <xdr:colOff>514351</xdr:colOff>
      <xdr:row>46</xdr:row>
      <xdr:rowOff>76200</xdr:rowOff>
    </xdr:from>
    <xdr:to>
      <xdr:col>10</xdr:col>
      <xdr:colOff>220663</xdr:colOff>
      <xdr:row>50</xdr:row>
      <xdr:rowOff>17956</xdr:rowOff>
    </xdr:to>
    <xdr:sp macro="" textlink="">
      <xdr:nvSpPr>
        <xdr:cNvPr id="95" name="Rounded Rectangle 123">
          <a:extLst>
            <a:ext uri="{FF2B5EF4-FFF2-40B4-BE49-F238E27FC236}">
              <a16:creationId xmlns:a16="http://schemas.microsoft.com/office/drawing/2014/main" id="{568D67D6-7A9E-49F4-8C1E-9B94053FF6F1}"/>
            </a:ext>
          </a:extLst>
        </xdr:cNvPr>
        <xdr:cNvSpPr/>
      </xdr:nvSpPr>
      <xdr:spPr>
        <a:xfrm>
          <a:off x="3571876" y="12954000"/>
          <a:ext cx="1979612" cy="703756"/>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 Motors</a:t>
          </a:r>
        </a:p>
      </xdr:txBody>
    </xdr:sp>
    <xdr:clientData/>
  </xdr:twoCellAnchor>
  <xdr:twoCellAnchor>
    <xdr:from>
      <xdr:col>6</xdr:col>
      <xdr:colOff>571500</xdr:colOff>
      <xdr:row>40</xdr:row>
      <xdr:rowOff>19050</xdr:rowOff>
    </xdr:from>
    <xdr:to>
      <xdr:col>10</xdr:col>
      <xdr:colOff>401637</xdr:colOff>
      <xdr:row>43</xdr:row>
      <xdr:rowOff>152400</xdr:rowOff>
    </xdr:to>
    <xdr:sp macro="" textlink="">
      <xdr:nvSpPr>
        <xdr:cNvPr id="96" name="Rounded Rectangle 193">
          <a:extLst>
            <a:ext uri="{FF2B5EF4-FFF2-40B4-BE49-F238E27FC236}">
              <a16:creationId xmlns:a16="http://schemas.microsoft.com/office/drawing/2014/main" id="{7B8ED32A-E752-4E21-9CA7-FAEDEEB45D08}"/>
            </a:ext>
          </a:extLst>
        </xdr:cNvPr>
        <xdr:cNvSpPr/>
      </xdr:nvSpPr>
      <xdr:spPr>
        <a:xfrm>
          <a:off x="3629025" y="11753850"/>
          <a:ext cx="2106612"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20</xdr:col>
      <xdr:colOff>304468</xdr:colOff>
      <xdr:row>49</xdr:row>
      <xdr:rowOff>163512</xdr:rowOff>
    </xdr:from>
    <xdr:to>
      <xdr:col>25</xdr:col>
      <xdr:colOff>190500</xdr:colOff>
      <xdr:row>54</xdr:row>
      <xdr:rowOff>57150</xdr:rowOff>
    </xdr:to>
    <xdr:sp macro="" textlink="">
      <xdr:nvSpPr>
        <xdr:cNvPr id="97" name="Rounded Rectangle 224">
          <a:extLst>
            <a:ext uri="{FF2B5EF4-FFF2-40B4-BE49-F238E27FC236}">
              <a16:creationId xmlns:a16="http://schemas.microsoft.com/office/drawing/2014/main" id="{FE81C3C5-9D83-476F-BA40-AD9F91683131}"/>
            </a:ext>
          </a:extLst>
        </xdr:cNvPr>
        <xdr:cNvSpPr/>
      </xdr:nvSpPr>
      <xdr:spPr>
        <a:xfrm>
          <a:off x="11867818" y="13609637"/>
          <a:ext cx="3000707" cy="84931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Gas Compressors</a:t>
          </a:r>
        </a:p>
      </xdr:txBody>
    </xdr:sp>
    <xdr:clientData/>
  </xdr:twoCellAnchor>
  <xdr:twoCellAnchor>
    <xdr:from>
      <xdr:col>18</xdr:col>
      <xdr:colOff>304800</xdr:colOff>
      <xdr:row>72</xdr:row>
      <xdr:rowOff>0</xdr:rowOff>
    </xdr:from>
    <xdr:to>
      <xdr:col>21</xdr:col>
      <xdr:colOff>420687</xdr:colOff>
      <xdr:row>75</xdr:row>
      <xdr:rowOff>133350</xdr:rowOff>
    </xdr:to>
    <xdr:sp macro="" textlink="">
      <xdr:nvSpPr>
        <xdr:cNvPr id="98" name="Rounded Rectangle 193">
          <a:extLst>
            <a:ext uri="{FF2B5EF4-FFF2-40B4-BE49-F238E27FC236}">
              <a16:creationId xmlns:a16="http://schemas.microsoft.com/office/drawing/2014/main" id="{A56D25FA-10FB-43AA-BF9D-C33BA96FCD43}"/>
            </a:ext>
          </a:extLst>
        </xdr:cNvPr>
        <xdr:cNvSpPr/>
      </xdr:nvSpPr>
      <xdr:spPr>
        <a:xfrm>
          <a:off x="10515600" y="17830800"/>
          <a:ext cx="2144712"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27</xdr:col>
      <xdr:colOff>723900</xdr:colOff>
      <xdr:row>76</xdr:row>
      <xdr:rowOff>38100</xdr:rowOff>
    </xdr:from>
    <xdr:to>
      <xdr:col>31</xdr:col>
      <xdr:colOff>96837</xdr:colOff>
      <xdr:row>79</xdr:row>
      <xdr:rowOff>171450</xdr:rowOff>
    </xdr:to>
    <xdr:sp macro="" textlink="">
      <xdr:nvSpPr>
        <xdr:cNvPr id="99" name="Rounded Rectangle 193">
          <a:extLst>
            <a:ext uri="{FF2B5EF4-FFF2-40B4-BE49-F238E27FC236}">
              <a16:creationId xmlns:a16="http://schemas.microsoft.com/office/drawing/2014/main" id="{9FA2DF01-9468-4E0D-BD27-6653B73DFB6F}"/>
            </a:ext>
          </a:extLst>
        </xdr:cNvPr>
        <xdr:cNvSpPr/>
      </xdr:nvSpPr>
      <xdr:spPr>
        <a:xfrm>
          <a:off x="16764000" y="18630900"/>
          <a:ext cx="2097087"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editAs="oneCell">
    <xdr:from>
      <xdr:col>28</xdr:col>
      <xdr:colOff>133350</xdr:colOff>
      <xdr:row>119</xdr:row>
      <xdr:rowOff>152400</xdr:rowOff>
    </xdr:from>
    <xdr:to>
      <xdr:col>31</xdr:col>
      <xdr:colOff>684810</xdr:colOff>
      <xdr:row>125</xdr:row>
      <xdr:rowOff>28513</xdr:rowOff>
    </xdr:to>
    <xdr:pic>
      <xdr:nvPicPr>
        <xdr:cNvPr id="100" name="Picture 99">
          <a:extLst>
            <a:ext uri="{FF2B5EF4-FFF2-40B4-BE49-F238E27FC236}">
              <a16:creationId xmlns:a16="http://schemas.microsoft.com/office/drawing/2014/main" id="{605E75FF-A993-4C2D-A97D-B4219F5F27CF}"/>
            </a:ext>
          </a:extLst>
        </xdr:cNvPr>
        <xdr:cNvPicPr>
          <a:picLocks noChangeAspect="1"/>
        </xdr:cNvPicPr>
      </xdr:nvPicPr>
      <xdr:blipFill>
        <a:blip xmlns:r="http://schemas.openxmlformats.org/officeDocument/2006/relationships" r:embed="rId1"/>
        <a:stretch>
          <a:fillRect/>
        </a:stretch>
      </xdr:blipFill>
      <xdr:spPr>
        <a:xfrm>
          <a:off x="16925925" y="26784300"/>
          <a:ext cx="2523135" cy="965138"/>
        </a:xfrm>
        <a:prstGeom prst="rect">
          <a:avLst/>
        </a:prstGeom>
        <a:ln>
          <a:solidFill>
            <a:srgbClr val="002060"/>
          </a:solidFill>
        </a:ln>
      </xdr:spPr>
    </xdr:pic>
    <xdr:clientData/>
  </xdr:twoCellAnchor>
  <xdr:twoCellAnchor>
    <xdr:from>
      <xdr:col>2</xdr:col>
      <xdr:colOff>266701</xdr:colOff>
      <xdr:row>98</xdr:row>
      <xdr:rowOff>171450</xdr:rowOff>
    </xdr:from>
    <xdr:to>
      <xdr:col>5</xdr:col>
      <xdr:colOff>152401</xdr:colOff>
      <xdr:row>102</xdr:row>
      <xdr:rowOff>114300</xdr:rowOff>
    </xdr:to>
    <xdr:sp macro="" textlink="">
      <xdr:nvSpPr>
        <xdr:cNvPr id="101" name="Rounded Rectangle 193">
          <a:extLst>
            <a:ext uri="{FF2B5EF4-FFF2-40B4-BE49-F238E27FC236}">
              <a16:creationId xmlns:a16="http://schemas.microsoft.com/office/drawing/2014/main" id="{DCC620F9-EF1D-4729-A88A-F91DF8F15726}"/>
            </a:ext>
          </a:extLst>
        </xdr:cNvPr>
        <xdr:cNvSpPr/>
      </xdr:nvSpPr>
      <xdr:spPr>
        <a:xfrm>
          <a:off x="1085851" y="22955250"/>
          <a:ext cx="1514475" cy="7048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22</xdr:col>
      <xdr:colOff>268168</xdr:colOff>
      <xdr:row>8</xdr:row>
      <xdr:rowOff>263525</xdr:rowOff>
    </xdr:from>
    <xdr:to>
      <xdr:col>24</xdr:col>
      <xdr:colOff>228600</xdr:colOff>
      <xdr:row>8</xdr:row>
      <xdr:rowOff>268653</xdr:rowOff>
    </xdr:to>
    <xdr:cxnSp macro="">
      <xdr:nvCxnSpPr>
        <xdr:cNvPr id="102" name="Straight Arrow Connector 101">
          <a:extLst>
            <a:ext uri="{FF2B5EF4-FFF2-40B4-BE49-F238E27FC236}">
              <a16:creationId xmlns:a16="http://schemas.microsoft.com/office/drawing/2014/main" id="{CCCE83DE-FD57-43D3-AAF3-0F78C32FE5A7}"/>
            </a:ext>
          </a:extLst>
        </xdr:cNvPr>
        <xdr:cNvCxnSpPr/>
      </xdr:nvCxnSpPr>
      <xdr:spPr>
        <a:xfrm flipH="1">
          <a:off x="13117393" y="5197475"/>
          <a:ext cx="1179632" cy="5128"/>
        </a:xfrm>
        <a:prstGeom prst="straightConnector1">
          <a:avLst/>
        </a:prstGeom>
        <a:noFill/>
        <a:ln w="76200" cap="flat" cmpd="sng" algn="ctr">
          <a:solidFill>
            <a:schemeClr val="accent6">
              <a:lumMod val="50000"/>
            </a:schemeClr>
          </a:solidFill>
          <a:prstDash val="solid"/>
          <a:tailEnd type="triangle"/>
        </a:ln>
        <a:effectLst/>
      </xdr:spPr>
    </xdr:cxnSp>
    <xdr:clientData/>
  </xdr:twoCellAnchor>
  <xdr:twoCellAnchor>
    <xdr:from>
      <xdr:col>12</xdr:col>
      <xdr:colOff>342900</xdr:colOff>
      <xdr:row>97</xdr:row>
      <xdr:rowOff>20637</xdr:rowOff>
    </xdr:from>
    <xdr:to>
      <xdr:col>15</xdr:col>
      <xdr:colOff>19526</xdr:colOff>
      <xdr:row>103</xdr:row>
      <xdr:rowOff>62706</xdr:rowOff>
    </xdr:to>
    <xdr:cxnSp macro="">
      <xdr:nvCxnSpPr>
        <xdr:cNvPr id="103" name="Elbow Connector 350">
          <a:extLst>
            <a:ext uri="{FF2B5EF4-FFF2-40B4-BE49-F238E27FC236}">
              <a16:creationId xmlns:a16="http://schemas.microsoft.com/office/drawing/2014/main" id="{31E9C81F-C420-42D8-966D-6997287EE82A}"/>
            </a:ext>
          </a:extLst>
        </xdr:cNvPr>
        <xdr:cNvCxnSpPr>
          <a:stCxn id="81" idx="3"/>
          <a:endCxn id="78" idx="2"/>
        </xdr:cNvCxnSpPr>
      </xdr:nvCxnSpPr>
      <xdr:spPr>
        <a:xfrm flipV="1">
          <a:off x="6896100" y="22613937"/>
          <a:ext cx="1505426" cy="1188244"/>
        </a:xfrm>
        <a:prstGeom prst="bentConnector2">
          <a:avLst/>
        </a:prstGeom>
        <a:ln w="762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428625</xdr:colOff>
      <xdr:row>107</xdr:row>
      <xdr:rowOff>133350</xdr:rowOff>
    </xdr:from>
    <xdr:to>
      <xdr:col>11</xdr:col>
      <xdr:colOff>190500</xdr:colOff>
      <xdr:row>116</xdr:row>
      <xdr:rowOff>114300</xdr:rowOff>
    </xdr:to>
    <xdr:cxnSp macro="">
      <xdr:nvCxnSpPr>
        <xdr:cNvPr id="104" name="Elbow Connector 456">
          <a:extLst>
            <a:ext uri="{FF2B5EF4-FFF2-40B4-BE49-F238E27FC236}">
              <a16:creationId xmlns:a16="http://schemas.microsoft.com/office/drawing/2014/main" id="{EB26C576-8414-4C74-9AB3-DCD4448D0B6E}"/>
            </a:ext>
          </a:extLst>
        </xdr:cNvPr>
        <xdr:cNvCxnSpPr>
          <a:endCxn id="81" idx="2"/>
        </xdr:cNvCxnSpPr>
      </xdr:nvCxnSpPr>
      <xdr:spPr>
        <a:xfrm rot="16200000" flipV="1">
          <a:off x="4918075" y="24987250"/>
          <a:ext cx="1609725" cy="822325"/>
        </a:xfrm>
        <a:prstGeom prst="bentConnector3">
          <a:avLst>
            <a:gd name="adj1" fmla="val 50000"/>
          </a:avLst>
        </a:prstGeom>
        <a:ln w="762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125412</xdr:colOff>
      <xdr:row>89</xdr:row>
      <xdr:rowOff>76993</xdr:rowOff>
    </xdr:from>
    <xdr:to>
      <xdr:col>29</xdr:col>
      <xdr:colOff>95251</xdr:colOff>
      <xdr:row>93</xdr:row>
      <xdr:rowOff>57151</xdr:rowOff>
    </xdr:to>
    <xdr:cxnSp macro="">
      <xdr:nvCxnSpPr>
        <xdr:cNvPr id="105" name="Elbow Connector 368">
          <a:extLst>
            <a:ext uri="{FF2B5EF4-FFF2-40B4-BE49-F238E27FC236}">
              <a16:creationId xmlns:a16="http://schemas.microsoft.com/office/drawing/2014/main" id="{2D147A7C-24E9-41B7-85C1-A1041CF23079}"/>
            </a:ext>
          </a:extLst>
        </xdr:cNvPr>
        <xdr:cNvCxnSpPr>
          <a:stCxn id="83" idx="0"/>
          <a:endCxn id="66" idx="3"/>
        </xdr:cNvCxnSpPr>
      </xdr:nvCxnSpPr>
      <xdr:spPr>
        <a:xfrm rot="16200000" flipV="1">
          <a:off x="16530240" y="20778390"/>
          <a:ext cx="742158" cy="1477964"/>
        </a:xfrm>
        <a:prstGeom prst="bentConnector2">
          <a:avLst/>
        </a:prstGeom>
        <a:noFill/>
        <a:ln w="76200" cap="flat" cmpd="sng" algn="ctr">
          <a:solidFill>
            <a:schemeClr val="accent6">
              <a:lumMod val="50000"/>
            </a:schemeClr>
          </a:solidFill>
          <a:prstDash val="solid"/>
          <a:tailEnd type="triangle"/>
        </a:ln>
        <a:effectLst/>
      </xdr:spPr>
    </xdr:cxnSp>
    <xdr:clientData/>
  </xdr:twoCellAnchor>
  <xdr:twoCellAnchor>
    <xdr:from>
      <xdr:col>25</xdr:col>
      <xdr:colOff>396082</xdr:colOff>
      <xdr:row>53</xdr:row>
      <xdr:rowOff>57150</xdr:rowOff>
    </xdr:from>
    <xdr:to>
      <xdr:col>26</xdr:col>
      <xdr:colOff>457201</xdr:colOff>
      <xdr:row>59</xdr:row>
      <xdr:rowOff>9525</xdr:rowOff>
    </xdr:to>
    <xdr:cxnSp macro="">
      <xdr:nvCxnSpPr>
        <xdr:cNvPr id="106" name="Elbow Connector 350">
          <a:extLst>
            <a:ext uri="{FF2B5EF4-FFF2-40B4-BE49-F238E27FC236}">
              <a16:creationId xmlns:a16="http://schemas.microsoft.com/office/drawing/2014/main" id="{4B80F892-A919-4350-B2BA-D323C9CCF8F6}"/>
            </a:ext>
          </a:extLst>
        </xdr:cNvPr>
        <xdr:cNvCxnSpPr>
          <a:endCxn id="72" idx="0"/>
        </xdr:cNvCxnSpPr>
      </xdr:nvCxnSpPr>
      <xdr:spPr>
        <a:xfrm rot="5400000">
          <a:off x="14861779" y="14477603"/>
          <a:ext cx="1092200" cy="673894"/>
        </a:xfrm>
        <a:prstGeom prst="bentConnector3">
          <a:avLst>
            <a:gd name="adj1" fmla="val 50000"/>
          </a:avLst>
        </a:prstGeom>
        <a:ln w="762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27837</xdr:colOff>
      <xdr:row>13</xdr:row>
      <xdr:rowOff>187220</xdr:rowOff>
    </xdr:from>
    <xdr:to>
      <xdr:col>54</xdr:col>
      <xdr:colOff>38254</xdr:colOff>
      <xdr:row>16</xdr:row>
      <xdr:rowOff>67670</xdr:rowOff>
    </xdr:to>
    <xdr:sp macro="" textlink="">
      <xdr:nvSpPr>
        <xdr:cNvPr id="107" name="Right Arrow 401">
          <a:extLst>
            <a:ext uri="{FF2B5EF4-FFF2-40B4-BE49-F238E27FC236}">
              <a16:creationId xmlns:a16="http://schemas.microsoft.com/office/drawing/2014/main" id="{16E942DE-E9E4-410A-9145-EFBBF2F1942D}"/>
            </a:ext>
          </a:extLst>
        </xdr:cNvPr>
        <xdr:cNvSpPr/>
      </xdr:nvSpPr>
      <xdr:spPr>
        <a:xfrm rot="1347686">
          <a:off x="32577937" y="6775345"/>
          <a:ext cx="750192" cy="45195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56</xdr:col>
      <xdr:colOff>10587</xdr:colOff>
      <xdr:row>29</xdr:row>
      <xdr:rowOff>65721</xdr:rowOff>
    </xdr:from>
    <xdr:to>
      <xdr:col>56</xdr:col>
      <xdr:colOff>609600</xdr:colOff>
      <xdr:row>41</xdr:row>
      <xdr:rowOff>18572</xdr:rowOff>
    </xdr:to>
    <xdr:cxnSp macro="">
      <xdr:nvCxnSpPr>
        <xdr:cNvPr id="108" name="Elbow Connector 422">
          <a:extLst>
            <a:ext uri="{FF2B5EF4-FFF2-40B4-BE49-F238E27FC236}">
              <a16:creationId xmlns:a16="http://schemas.microsoft.com/office/drawing/2014/main" id="{0D59772D-08C0-4B68-A875-7FD8EB85CB01}"/>
            </a:ext>
          </a:extLst>
        </xdr:cNvPr>
        <xdr:cNvCxnSpPr>
          <a:stCxn id="137" idx="2"/>
          <a:endCxn id="130" idx="3"/>
        </xdr:cNvCxnSpPr>
      </xdr:nvCxnSpPr>
      <xdr:spPr>
        <a:xfrm rot="16200000" flipH="1">
          <a:off x="33833093" y="10524940"/>
          <a:ext cx="2235676" cy="602188"/>
        </a:xfrm>
        <a:prstGeom prst="bentConnector4">
          <a:avLst>
            <a:gd name="adj1" fmla="val 33418"/>
            <a:gd name="adj2" fmla="val 213057"/>
          </a:avLst>
        </a:prstGeom>
        <a:noFill/>
        <a:ln w="57150" cap="flat" cmpd="sng" algn="ctr">
          <a:solidFill>
            <a:srgbClr val="00B050"/>
          </a:solidFill>
          <a:prstDash val="solid"/>
          <a:tailEnd type="triangle"/>
        </a:ln>
        <a:effectLst/>
      </xdr:spPr>
    </xdr:cxnSp>
    <xdr:clientData/>
  </xdr:twoCellAnchor>
  <xdr:twoCellAnchor>
    <xdr:from>
      <xdr:col>57</xdr:col>
      <xdr:colOff>354528</xdr:colOff>
      <xdr:row>8</xdr:row>
      <xdr:rowOff>331129</xdr:rowOff>
    </xdr:from>
    <xdr:to>
      <xdr:col>59</xdr:col>
      <xdr:colOff>314960</xdr:colOff>
      <xdr:row>8</xdr:row>
      <xdr:rowOff>336257</xdr:rowOff>
    </xdr:to>
    <xdr:cxnSp macro="">
      <xdr:nvCxnSpPr>
        <xdr:cNvPr id="109" name="Straight Arrow Connector 108">
          <a:extLst>
            <a:ext uri="{FF2B5EF4-FFF2-40B4-BE49-F238E27FC236}">
              <a16:creationId xmlns:a16="http://schemas.microsoft.com/office/drawing/2014/main" id="{D417FA18-5D5F-4B39-A21B-3D4AE3DE755F}"/>
            </a:ext>
          </a:extLst>
        </xdr:cNvPr>
        <xdr:cNvCxnSpPr/>
      </xdr:nvCxnSpPr>
      <xdr:spPr>
        <a:xfrm flipH="1">
          <a:off x="35698628" y="5268254"/>
          <a:ext cx="1370132" cy="0"/>
        </a:xfrm>
        <a:prstGeom prst="straightConnector1">
          <a:avLst/>
        </a:prstGeom>
        <a:noFill/>
        <a:ln w="76200" cap="flat" cmpd="sng" algn="ctr">
          <a:solidFill>
            <a:srgbClr val="0000FF"/>
          </a:solidFill>
          <a:prstDash val="solid"/>
          <a:tailEnd type="triangle"/>
        </a:ln>
        <a:effectLst/>
      </xdr:spPr>
    </xdr:cxnSp>
    <xdr:clientData/>
  </xdr:twoCellAnchor>
  <xdr:twoCellAnchor>
    <xdr:from>
      <xdr:col>57</xdr:col>
      <xdr:colOff>333375</xdr:colOff>
      <xdr:row>15</xdr:row>
      <xdr:rowOff>64770</xdr:rowOff>
    </xdr:from>
    <xdr:to>
      <xdr:col>60</xdr:col>
      <xdr:colOff>502919</xdr:colOff>
      <xdr:row>21</xdr:row>
      <xdr:rowOff>66674</xdr:rowOff>
    </xdr:to>
    <xdr:cxnSp macro="">
      <xdr:nvCxnSpPr>
        <xdr:cNvPr id="110" name="Elbow Connector 424">
          <a:extLst>
            <a:ext uri="{FF2B5EF4-FFF2-40B4-BE49-F238E27FC236}">
              <a16:creationId xmlns:a16="http://schemas.microsoft.com/office/drawing/2014/main" id="{F8B80561-2E8B-4547-9DFF-83BC050233D3}"/>
            </a:ext>
          </a:extLst>
        </xdr:cNvPr>
        <xdr:cNvCxnSpPr>
          <a:stCxn id="126" idx="1"/>
        </xdr:cNvCxnSpPr>
      </xdr:nvCxnSpPr>
      <xdr:spPr>
        <a:xfrm rot="10800000" flipV="1">
          <a:off x="35677475" y="7040245"/>
          <a:ext cx="2195194" cy="1144904"/>
        </a:xfrm>
        <a:prstGeom prst="bentConnector3">
          <a:avLst>
            <a:gd name="adj1" fmla="val 50000"/>
          </a:avLst>
        </a:prstGeom>
        <a:noFill/>
        <a:ln w="57150" cap="flat" cmpd="sng" algn="ctr">
          <a:solidFill>
            <a:srgbClr val="0000FF"/>
          </a:solidFill>
          <a:prstDash val="solid"/>
          <a:tailEnd type="triangle"/>
        </a:ln>
        <a:effectLst/>
      </xdr:spPr>
    </xdr:cxnSp>
    <xdr:clientData/>
  </xdr:twoCellAnchor>
  <xdr:twoCellAnchor>
    <xdr:from>
      <xdr:col>46</xdr:col>
      <xdr:colOff>198561</xdr:colOff>
      <xdr:row>35</xdr:row>
      <xdr:rowOff>91439</xdr:rowOff>
    </xdr:from>
    <xdr:to>
      <xdr:col>48</xdr:col>
      <xdr:colOff>213360</xdr:colOff>
      <xdr:row>38</xdr:row>
      <xdr:rowOff>43962</xdr:rowOff>
    </xdr:to>
    <xdr:sp macro="" textlink="">
      <xdr:nvSpPr>
        <xdr:cNvPr id="111" name="Rounded Rectangle 425">
          <a:extLst>
            <a:ext uri="{FF2B5EF4-FFF2-40B4-BE49-F238E27FC236}">
              <a16:creationId xmlns:a16="http://schemas.microsoft.com/office/drawing/2014/main" id="{19ABE5D1-AEE4-4FD0-BF60-865DEFD1D155}"/>
            </a:ext>
          </a:extLst>
        </xdr:cNvPr>
        <xdr:cNvSpPr/>
      </xdr:nvSpPr>
      <xdr:spPr>
        <a:xfrm>
          <a:off x="28090936" y="10870564"/>
          <a:ext cx="1272099" cy="530373"/>
        </a:xfrm>
        <a:prstGeom prst="roundRect">
          <a:avLst/>
        </a:prstGeom>
        <a:solidFill>
          <a:srgbClr val="FF99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ysClr val="windowText" lastClr="000000"/>
            </a:solidFill>
          </a:endParaRPr>
        </a:p>
      </xdr:txBody>
    </xdr:sp>
    <xdr:clientData/>
  </xdr:twoCellAnchor>
  <xdr:twoCellAnchor>
    <xdr:from>
      <xdr:col>41</xdr:col>
      <xdr:colOff>366201</xdr:colOff>
      <xdr:row>35</xdr:row>
      <xdr:rowOff>99059</xdr:rowOff>
    </xdr:from>
    <xdr:to>
      <xdr:col>43</xdr:col>
      <xdr:colOff>281940</xdr:colOff>
      <xdr:row>38</xdr:row>
      <xdr:rowOff>51582</xdr:rowOff>
    </xdr:to>
    <xdr:sp macro="" textlink="">
      <xdr:nvSpPr>
        <xdr:cNvPr id="112" name="Rounded Rectangle 426">
          <a:extLst>
            <a:ext uri="{FF2B5EF4-FFF2-40B4-BE49-F238E27FC236}">
              <a16:creationId xmlns:a16="http://schemas.microsoft.com/office/drawing/2014/main" id="{1219BF87-77D7-4418-9E39-78335AB929A4}"/>
            </a:ext>
          </a:extLst>
        </xdr:cNvPr>
        <xdr:cNvSpPr/>
      </xdr:nvSpPr>
      <xdr:spPr>
        <a:xfrm>
          <a:off x="25020076" y="10884534"/>
          <a:ext cx="1204789" cy="517673"/>
        </a:xfrm>
        <a:prstGeom prst="roundRect">
          <a:avLst/>
        </a:prstGeom>
        <a:solidFill>
          <a:srgbClr val="FF99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2400" b="1">
            <a:solidFill>
              <a:sysClr val="windowText" lastClr="000000"/>
            </a:solidFill>
          </a:endParaRPr>
        </a:p>
      </xdr:txBody>
    </xdr:sp>
    <xdr:clientData/>
  </xdr:twoCellAnchor>
  <xdr:twoCellAnchor>
    <xdr:from>
      <xdr:col>44</xdr:col>
      <xdr:colOff>324167</xdr:colOff>
      <xdr:row>84</xdr:row>
      <xdr:rowOff>105727</xdr:rowOff>
    </xdr:from>
    <xdr:to>
      <xdr:col>58</xdr:col>
      <xdr:colOff>610552</xdr:colOff>
      <xdr:row>92</xdr:row>
      <xdr:rowOff>9527</xdr:rowOff>
    </xdr:to>
    <xdr:sp macro="" textlink="">
      <xdr:nvSpPr>
        <xdr:cNvPr id="113" name="Rounded Rectangle 427">
          <a:extLst>
            <a:ext uri="{FF2B5EF4-FFF2-40B4-BE49-F238E27FC236}">
              <a16:creationId xmlns:a16="http://schemas.microsoft.com/office/drawing/2014/main" id="{310EC8EB-0232-4124-9B84-627E56AAB666}"/>
            </a:ext>
          </a:extLst>
        </xdr:cNvPr>
        <xdr:cNvSpPr/>
      </xdr:nvSpPr>
      <xdr:spPr>
        <a:xfrm>
          <a:off x="26917967" y="20219352"/>
          <a:ext cx="9744710" cy="1427800"/>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Water Cooled Chillers/Cooling</a:t>
          </a:r>
          <a:r>
            <a:rPr lang="en-US" sz="3600" b="1" baseline="0">
              <a:solidFill>
                <a:sysClr val="windowText" lastClr="000000"/>
              </a:solidFill>
            </a:rPr>
            <a:t> Towers</a:t>
          </a:r>
        </a:p>
      </xdr:txBody>
    </xdr:sp>
    <xdr:clientData/>
  </xdr:twoCellAnchor>
  <xdr:twoCellAnchor>
    <xdr:from>
      <xdr:col>40</xdr:col>
      <xdr:colOff>599342</xdr:colOff>
      <xdr:row>36</xdr:row>
      <xdr:rowOff>150812</xdr:rowOff>
    </xdr:from>
    <xdr:to>
      <xdr:col>48</xdr:col>
      <xdr:colOff>419833</xdr:colOff>
      <xdr:row>48</xdr:row>
      <xdr:rowOff>107709</xdr:rowOff>
    </xdr:to>
    <xdr:sp macro="" textlink="">
      <xdr:nvSpPr>
        <xdr:cNvPr id="114" name="Rounded Rectangle 428">
          <a:extLst>
            <a:ext uri="{FF2B5EF4-FFF2-40B4-BE49-F238E27FC236}">
              <a16:creationId xmlns:a16="http://schemas.microsoft.com/office/drawing/2014/main" id="{3F086868-5C32-4D77-987F-D16DF21885CD}"/>
            </a:ext>
          </a:extLst>
        </xdr:cNvPr>
        <xdr:cNvSpPr/>
      </xdr:nvSpPr>
      <xdr:spPr>
        <a:xfrm>
          <a:off x="24605517" y="11123612"/>
          <a:ext cx="4960816" cy="2239722"/>
        </a:xfrm>
        <a:prstGeom prst="round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3200" b="1">
            <a:solidFill>
              <a:sysClr val="windowText" lastClr="000000"/>
            </a:solidFill>
          </a:endParaRPr>
        </a:p>
        <a:p>
          <a:pPr algn="ctr"/>
          <a:endParaRPr lang="en-US" sz="3200" b="1">
            <a:solidFill>
              <a:sysClr val="windowText" lastClr="000000"/>
            </a:solidFill>
          </a:endParaRPr>
        </a:p>
        <a:p>
          <a:pPr algn="ctr"/>
          <a:r>
            <a:rPr lang="en-US" sz="3200" b="1">
              <a:solidFill>
                <a:sysClr val="windowText" lastClr="000000"/>
              </a:solidFill>
            </a:rPr>
            <a:t>Water Cooled Chillers</a:t>
          </a:r>
          <a:br>
            <a:rPr lang="en-US" sz="3200" b="1">
              <a:solidFill>
                <a:sysClr val="windowText" lastClr="000000"/>
              </a:solidFill>
            </a:rPr>
          </a:br>
          <a:endParaRPr lang="en-US" sz="3200" b="1" baseline="0">
            <a:solidFill>
              <a:sysClr val="windowText" lastClr="000000"/>
            </a:solidFill>
          </a:endParaRPr>
        </a:p>
      </xdr:txBody>
    </xdr:sp>
    <xdr:clientData/>
  </xdr:twoCellAnchor>
  <xdr:twoCellAnchor>
    <xdr:from>
      <xdr:col>41</xdr:col>
      <xdr:colOff>16724</xdr:colOff>
      <xdr:row>50</xdr:row>
      <xdr:rowOff>144357</xdr:rowOff>
    </xdr:from>
    <xdr:to>
      <xdr:col>42</xdr:col>
      <xdr:colOff>146204</xdr:colOff>
      <xdr:row>53</xdr:row>
      <xdr:rowOff>96244</xdr:rowOff>
    </xdr:to>
    <xdr:sp macro="" textlink="">
      <xdr:nvSpPr>
        <xdr:cNvPr id="115" name="Right Arrow 429">
          <a:extLst>
            <a:ext uri="{FF2B5EF4-FFF2-40B4-BE49-F238E27FC236}">
              <a16:creationId xmlns:a16="http://schemas.microsoft.com/office/drawing/2014/main" id="{7D9FA808-7E04-4F47-8850-F0F40EB49B49}"/>
            </a:ext>
          </a:extLst>
        </xdr:cNvPr>
        <xdr:cNvSpPr/>
      </xdr:nvSpPr>
      <xdr:spPr>
        <a:xfrm rot="19727185">
          <a:off x="24667424" y="13780982"/>
          <a:ext cx="774005" cy="526562"/>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39</xdr:col>
      <xdr:colOff>64476</xdr:colOff>
      <xdr:row>51</xdr:row>
      <xdr:rowOff>167640</xdr:rowOff>
    </xdr:from>
    <xdr:to>
      <xdr:col>41</xdr:col>
      <xdr:colOff>365612</xdr:colOff>
      <xdr:row>54</xdr:row>
      <xdr:rowOff>123825</xdr:rowOff>
    </xdr:to>
    <xdr:sp macro="" textlink="">
      <xdr:nvSpPr>
        <xdr:cNvPr id="116" name="Rounded Rectangle 430">
          <a:extLst>
            <a:ext uri="{FF2B5EF4-FFF2-40B4-BE49-F238E27FC236}">
              <a16:creationId xmlns:a16="http://schemas.microsoft.com/office/drawing/2014/main" id="{6CA0F532-8D67-4500-823A-E3C7AA52DADC}"/>
            </a:ext>
          </a:extLst>
        </xdr:cNvPr>
        <xdr:cNvSpPr/>
      </xdr:nvSpPr>
      <xdr:spPr>
        <a:xfrm>
          <a:off x="23422951" y="13994765"/>
          <a:ext cx="1596536" cy="52768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42</xdr:col>
      <xdr:colOff>78398</xdr:colOff>
      <xdr:row>48</xdr:row>
      <xdr:rowOff>58616</xdr:rowOff>
    </xdr:from>
    <xdr:to>
      <xdr:col>47</xdr:col>
      <xdr:colOff>221274</xdr:colOff>
      <xdr:row>51</xdr:row>
      <xdr:rowOff>63745</xdr:rowOff>
    </xdr:to>
    <xdr:sp macro="" textlink="">
      <xdr:nvSpPr>
        <xdr:cNvPr id="117" name="Rounded Rectangle 431">
          <a:extLst>
            <a:ext uri="{FF2B5EF4-FFF2-40B4-BE49-F238E27FC236}">
              <a16:creationId xmlns:a16="http://schemas.microsoft.com/office/drawing/2014/main" id="{CC51AABF-EE12-4065-9740-77BC81B2419B}"/>
            </a:ext>
          </a:extLst>
        </xdr:cNvPr>
        <xdr:cNvSpPr/>
      </xdr:nvSpPr>
      <xdr:spPr>
        <a:xfrm>
          <a:off x="25376798" y="13317416"/>
          <a:ext cx="3340101" cy="579804"/>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Compressors</a:t>
          </a:r>
        </a:p>
      </xdr:txBody>
    </xdr:sp>
    <xdr:clientData/>
  </xdr:twoCellAnchor>
  <xdr:twoCellAnchor>
    <xdr:from>
      <xdr:col>47</xdr:col>
      <xdr:colOff>221274</xdr:colOff>
      <xdr:row>38</xdr:row>
      <xdr:rowOff>21103</xdr:rowOff>
    </xdr:from>
    <xdr:to>
      <xdr:col>48</xdr:col>
      <xdr:colOff>380413</xdr:colOff>
      <xdr:row>49</xdr:row>
      <xdr:rowOff>152621</xdr:rowOff>
    </xdr:to>
    <xdr:cxnSp macro="">
      <xdr:nvCxnSpPr>
        <xdr:cNvPr id="118" name="Elbow Connector 432">
          <a:extLst>
            <a:ext uri="{FF2B5EF4-FFF2-40B4-BE49-F238E27FC236}">
              <a16:creationId xmlns:a16="http://schemas.microsoft.com/office/drawing/2014/main" id="{DF9D3411-E661-4488-A2AD-3737F6629673}"/>
            </a:ext>
          </a:extLst>
        </xdr:cNvPr>
        <xdr:cNvCxnSpPr>
          <a:stCxn id="117" idx="3"/>
          <a:endCxn id="131" idx="3"/>
        </xdr:cNvCxnSpPr>
      </xdr:nvCxnSpPr>
      <xdr:spPr>
        <a:xfrm flipV="1">
          <a:off x="28716899" y="11374903"/>
          <a:ext cx="810014" cy="2227018"/>
        </a:xfrm>
        <a:prstGeom prst="bentConnector3">
          <a:avLst>
            <a:gd name="adj1" fmla="val 222593"/>
          </a:avLst>
        </a:prstGeom>
        <a:ln w="57150">
          <a:solidFill>
            <a:srgbClr val="F90718"/>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545124</xdr:colOff>
      <xdr:row>38</xdr:row>
      <xdr:rowOff>21103</xdr:rowOff>
    </xdr:from>
    <xdr:to>
      <xdr:col>40</xdr:col>
      <xdr:colOff>659571</xdr:colOff>
      <xdr:row>44</xdr:row>
      <xdr:rowOff>35171</xdr:rowOff>
    </xdr:to>
    <xdr:cxnSp macro="">
      <xdr:nvCxnSpPr>
        <xdr:cNvPr id="119" name="Elbow Connector 433">
          <a:extLst>
            <a:ext uri="{FF2B5EF4-FFF2-40B4-BE49-F238E27FC236}">
              <a16:creationId xmlns:a16="http://schemas.microsoft.com/office/drawing/2014/main" id="{03178B78-AC49-4EEF-8535-A162D441213C}"/>
            </a:ext>
          </a:extLst>
        </xdr:cNvPr>
        <xdr:cNvCxnSpPr>
          <a:stCxn id="131" idx="1"/>
          <a:endCxn id="120" idx="0"/>
        </xdr:cNvCxnSpPr>
      </xdr:nvCxnSpPr>
      <xdr:spPr>
        <a:xfrm rot="10800000" flipV="1">
          <a:off x="23249549" y="11374903"/>
          <a:ext cx="1400322" cy="1157068"/>
        </a:xfrm>
        <a:prstGeom prst="bentConnector3">
          <a:avLst>
            <a:gd name="adj1" fmla="val 32771"/>
          </a:avLst>
        </a:prstGeom>
        <a:ln w="57150">
          <a:solidFill>
            <a:srgbClr val="F90718"/>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550985</xdr:colOff>
      <xdr:row>43</xdr:row>
      <xdr:rowOff>5863</xdr:rowOff>
    </xdr:from>
    <xdr:to>
      <xdr:col>38</xdr:col>
      <xdr:colOff>545123</xdr:colOff>
      <xdr:row>45</xdr:row>
      <xdr:rowOff>64479</xdr:rowOff>
    </xdr:to>
    <xdr:sp macro="" textlink="">
      <xdr:nvSpPr>
        <xdr:cNvPr id="120" name="Flowchart: Collate 119">
          <a:extLst>
            <a:ext uri="{FF2B5EF4-FFF2-40B4-BE49-F238E27FC236}">
              <a16:creationId xmlns:a16="http://schemas.microsoft.com/office/drawing/2014/main" id="{867FF257-5096-4B6F-AC6C-ABC96CDDB260}"/>
            </a:ext>
          </a:extLst>
        </xdr:cNvPr>
        <xdr:cNvSpPr/>
      </xdr:nvSpPr>
      <xdr:spPr>
        <a:xfrm rot="5400000">
          <a:off x="22710409" y="12215814"/>
          <a:ext cx="439616" cy="638663"/>
        </a:xfrm>
        <a:prstGeom prst="flowChartCollat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37</xdr:col>
      <xdr:colOff>562708</xdr:colOff>
      <xdr:row>44</xdr:row>
      <xdr:rowOff>46894</xdr:rowOff>
    </xdr:from>
    <xdr:to>
      <xdr:col>41</xdr:col>
      <xdr:colOff>205154</xdr:colOff>
      <xdr:row>64</xdr:row>
      <xdr:rowOff>99645</xdr:rowOff>
    </xdr:to>
    <xdr:cxnSp macro="">
      <xdr:nvCxnSpPr>
        <xdr:cNvPr id="121" name="Elbow Connector 435">
          <a:extLst>
            <a:ext uri="{FF2B5EF4-FFF2-40B4-BE49-F238E27FC236}">
              <a16:creationId xmlns:a16="http://schemas.microsoft.com/office/drawing/2014/main" id="{2712E538-63C3-47D0-9A6E-4B2FE5302779}"/>
            </a:ext>
          </a:extLst>
        </xdr:cNvPr>
        <xdr:cNvCxnSpPr/>
      </xdr:nvCxnSpPr>
      <xdr:spPr>
        <a:xfrm rot="10800000" flipH="1" flipV="1">
          <a:off x="22619433" y="12546869"/>
          <a:ext cx="2233246" cy="3862751"/>
        </a:xfrm>
        <a:prstGeom prst="bentConnector3">
          <a:avLst>
            <a:gd name="adj1" fmla="val -21600"/>
          </a:avLst>
        </a:prstGeom>
        <a:ln w="5715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201051</xdr:colOff>
      <xdr:row>60</xdr:row>
      <xdr:rowOff>176431</xdr:rowOff>
    </xdr:from>
    <xdr:to>
      <xdr:col>46</xdr:col>
      <xdr:colOff>502920</xdr:colOff>
      <xdr:row>67</xdr:row>
      <xdr:rowOff>75613</xdr:rowOff>
    </xdr:to>
    <xdr:sp macro="" textlink="">
      <xdr:nvSpPr>
        <xdr:cNvPr id="122" name="Rounded Rectangle 436">
          <a:extLst>
            <a:ext uri="{FF2B5EF4-FFF2-40B4-BE49-F238E27FC236}">
              <a16:creationId xmlns:a16="http://schemas.microsoft.com/office/drawing/2014/main" id="{1669B0E9-002F-4DBD-B88B-969F41809695}"/>
            </a:ext>
          </a:extLst>
        </xdr:cNvPr>
        <xdr:cNvSpPr/>
      </xdr:nvSpPr>
      <xdr:spPr>
        <a:xfrm>
          <a:off x="24848576" y="15724406"/>
          <a:ext cx="3546719" cy="1229507"/>
        </a:xfrm>
        <a:prstGeom prst="roundRect">
          <a:avLst/>
        </a:prstGeom>
        <a:solidFill>
          <a:schemeClr val="tx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Evaporators</a:t>
          </a:r>
        </a:p>
      </xdr:txBody>
    </xdr:sp>
    <xdr:clientData/>
  </xdr:twoCellAnchor>
  <xdr:twoCellAnchor>
    <xdr:from>
      <xdr:col>44</xdr:col>
      <xdr:colOff>31946</xdr:colOff>
      <xdr:row>51</xdr:row>
      <xdr:rowOff>63745</xdr:rowOff>
    </xdr:from>
    <xdr:to>
      <xdr:col>44</xdr:col>
      <xdr:colOff>469876</xdr:colOff>
      <xdr:row>60</xdr:row>
      <xdr:rowOff>176431</xdr:rowOff>
    </xdr:to>
    <xdr:cxnSp macro="">
      <xdr:nvCxnSpPr>
        <xdr:cNvPr id="123" name="Elbow Connector 437">
          <a:extLst>
            <a:ext uri="{FF2B5EF4-FFF2-40B4-BE49-F238E27FC236}">
              <a16:creationId xmlns:a16="http://schemas.microsoft.com/office/drawing/2014/main" id="{1778FD0B-E95C-4006-B2E0-CA1BDE28E037}"/>
            </a:ext>
          </a:extLst>
        </xdr:cNvPr>
        <xdr:cNvCxnSpPr>
          <a:stCxn id="122" idx="0"/>
          <a:endCxn id="117" idx="2"/>
        </xdr:cNvCxnSpPr>
      </xdr:nvCxnSpPr>
      <xdr:spPr>
        <a:xfrm rot="5400000" flipH="1" flipV="1">
          <a:off x="25927943" y="14591848"/>
          <a:ext cx="1827186" cy="437930"/>
        </a:xfrm>
        <a:prstGeom prst="bentConnector3">
          <a:avLst>
            <a:gd name="adj1" fmla="val 50000"/>
          </a:avLst>
        </a:prstGeom>
        <a:ln w="57150">
          <a:solidFill>
            <a:schemeClr val="accent2">
              <a:lumMod val="60000"/>
              <a:lumOff val="40000"/>
            </a:schemeClr>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508085</xdr:colOff>
      <xdr:row>24</xdr:row>
      <xdr:rowOff>15242</xdr:rowOff>
    </xdr:from>
    <xdr:to>
      <xdr:col>54</xdr:col>
      <xdr:colOff>372646</xdr:colOff>
      <xdr:row>35</xdr:row>
      <xdr:rowOff>82064</xdr:rowOff>
    </xdr:to>
    <xdr:cxnSp macro="">
      <xdr:nvCxnSpPr>
        <xdr:cNvPr id="124" name="Elbow Connector 438">
          <a:extLst>
            <a:ext uri="{FF2B5EF4-FFF2-40B4-BE49-F238E27FC236}">
              <a16:creationId xmlns:a16="http://schemas.microsoft.com/office/drawing/2014/main" id="{89D8E520-487C-48F5-9A2E-C4B5176D0B5C}"/>
            </a:ext>
          </a:extLst>
        </xdr:cNvPr>
        <xdr:cNvCxnSpPr>
          <a:stCxn id="131" idx="0"/>
          <a:endCxn id="137" idx="1"/>
        </xdr:cNvCxnSpPr>
      </xdr:nvCxnSpPr>
      <xdr:spPr>
        <a:xfrm rot="5400000" flipH="1" flipV="1">
          <a:off x="29294692" y="6502885"/>
          <a:ext cx="2168672" cy="6560636"/>
        </a:xfrm>
        <a:prstGeom prst="bentConnector2">
          <a:avLst/>
        </a:prstGeom>
        <a:noFill/>
        <a:ln w="57150" cap="flat" cmpd="sng" algn="ctr">
          <a:solidFill>
            <a:srgbClr val="66FF66"/>
          </a:solidFill>
          <a:prstDash val="solid"/>
          <a:tailEnd type="triangle"/>
        </a:ln>
        <a:effectLst/>
      </xdr:spPr>
    </xdr:cxnSp>
    <xdr:clientData/>
  </xdr:twoCellAnchor>
  <xdr:twoCellAnchor>
    <xdr:from>
      <xdr:col>55</xdr:col>
      <xdr:colOff>411491</xdr:colOff>
      <xdr:row>12</xdr:row>
      <xdr:rowOff>30479</xdr:rowOff>
    </xdr:from>
    <xdr:to>
      <xdr:col>56</xdr:col>
      <xdr:colOff>220986</xdr:colOff>
      <xdr:row>17</xdr:row>
      <xdr:rowOff>106679</xdr:rowOff>
    </xdr:to>
    <xdr:sp macro="" textlink="">
      <xdr:nvSpPr>
        <xdr:cNvPr id="125" name="Right Arrow 439">
          <a:extLst>
            <a:ext uri="{FF2B5EF4-FFF2-40B4-BE49-F238E27FC236}">
              <a16:creationId xmlns:a16="http://schemas.microsoft.com/office/drawing/2014/main" id="{DA508E00-D8BE-4F09-A0C7-4575809415C5}"/>
            </a:ext>
          </a:extLst>
        </xdr:cNvPr>
        <xdr:cNvSpPr/>
      </xdr:nvSpPr>
      <xdr:spPr>
        <a:xfrm rot="16200000">
          <a:off x="34136339" y="6732906"/>
          <a:ext cx="1028700" cy="419095"/>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60</xdr:col>
      <xdr:colOff>502919</xdr:colOff>
      <xdr:row>12</xdr:row>
      <xdr:rowOff>57151</xdr:rowOff>
    </xdr:from>
    <xdr:to>
      <xdr:col>63</xdr:col>
      <xdr:colOff>200025</xdr:colOff>
      <xdr:row>18</xdr:row>
      <xdr:rowOff>53340</xdr:rowOff>
    </xdr:to>
    <xdr:sp macro="" textlink="">
      <xdr:nvSpPr>
        <xdr:cNvPr id="126" name="Rounded Rectangle 440">
          <a:extLst>
            <a:ext uri="{FF2B5EF4-FFF2-40B4-BE49-F238E27FC236}">
              <a16:creationId xmlns:a16="http://schemas.microsoft.com/office/drawing/2014/main" id="{29AB4A8A-2205-4E3D-B7B0-CDDB2061E3A9}"/>
            </a:ext>
          </a:extLst>
        </xdr:cNvPr>
        <xdr:cNvSpPr/>
      </xdr:nvSpPr>
      <xdr:spPr>
        <a:xfrm>
          <a:off x="37872669" y="6457951"/>
          <a:ext cx="1805306" cy="1136014"/>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Make Up Water</a:t>
          </a:r>
        </a:p>
      </xdr:txBody>
    </xdr:sp>
    <xdr:clientData/>
  </xdr:twoCellAnchor>
  <xdr:twoCellAnchor>
    <xdr:from>
      <xdr:col>51</xdr:col>
      <xdr:colOff>127000</xdr:colOff>
      <xdr:row>12</xdr:row>
      <xdr:rowOff>168274</xdr:rowOff>
    </xdr:from>
    <xdr:to>
      <xdr:col>53</xdr:col>
      <xdr:colOff>414980</xdr:colOff>
      <xdr:row>15</xdr:row>
      <xdr:rowOff>111124</xdr:rowOff>
    </xdr:to>
    <xdr:sp macro="" textlink="">
      <xdr:nvSpPr>
        <xdr:cNvPr id="127" name="Rounded Rectangle 441">
          <a:extLst>
            <a:ext uri="{FF2B5EF4-FFF2-40B4-BE49-F238E27FC236}">
              <a16:creationId xmlns:a16="http://schemas.microsoft.com/office/drawing/2014/main" id="{0A415A7F-B397-4255-A136-6951DF99FEE3}"/>
            </a:ext>
          </a:extLst>
        </xdr:cNvPr>
        <xdr:cNvSpPr/>
      </xdr:nvSpPr>
      <xdr:spPr>
        <a:xfrm>
          <a:off x="31318200" y="6565899"/>
          <a:ext cx="1640530" cy="5143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53</xdr:col>
      <xdr:colOff>754380</xdr:colOff>
      <xdr:row>15</xdr:row>
      <xdr:rowOff>91440</xdr:rowOff>
    </xdr:from>
    <xdr:to>
      <xdr:col>57</xdr:col>
      <xdr:colOff>671799</xdr:colOff>
      <xdr:row>19</xdr:row>
      <xdr:rowOff>9736</xdr:rowOff>
    </xdr:to>
    <xdr:sp macro="" textlink="">
      <xdr:nvSpPr>
        <xdr:cNvPr id="128" name="Rounded Rectangle 442">
          <a:extLst>
            <a:ext uri="{FF2B5EF4-FFF2-40B4-BE49-F238E27FC236}">
              <a16:creationId xmlns:a16="http://schemas.microsoft.com/office/drawing/2014/main" id="{439C8626-D974-4DEE-9959-A9101C3E95C3}"/>
            </a:ext>
          </a:extLst>
        </xdr:cNvPr>
        <xdr:cNvSpPr/>
      </xdr:nvSpPr>
      <xdr:spPr>
        <a:xfrm>
          <a:off x="33288605" y="7060565"/>
          <a:ext cx="2733644" cy="680296"/>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Tower</a:t>
          </a:r>
          <a:r>
            <a:rPr lang="en-US" sz="2800" b="1" baseline="0">
              <a:solidFill>
                <a:sysClr val="windowText" lastClr="000000"/>
              </a:solidFill>
            </a:rPr>
            <a:t> </a:t>
          </a:r>
          <a:r>
            <a:rPr lang="en-US" sz="2800" b="1">
              <a:solidFill>
                <a:sysClr val="windowText" lastClr="000000"/>
              </a:solidFill>
            </a:rPr>
            <a:t>Fans</a:t>
          </a:r>
        </a:p>
      </xdr:txBody>
    </xdr:sp>
    <xdr:clientData/>
  </xdr:twoCellAnchor>
  <xdr:twoCellAnchor>
    <xdr:from>
      <xdr:col>56</xdr:col>
      <xdr:colOff>696493</xdr:colOff>
      <xdr:row>29</xdr:row>
      <xdr:rowOff>65190</xdr:rowOff>
    </xdr:from>
    <xdr:to>
      <xdr:col>57</xdr:col>
      <xdr:colOff>332233</xdr:colOff>
      <xdr:row>33</xdr:row>
      <xdr:rowOff>23546</xdr:rowOff>
    </xdr:to>
    <xdr:sp macro="" textlink="">
      <xdr:nvSpPr>
        <xdr:cNvPr id="129" name="Right Arrow 443">
          <a:extLst>
            <a:ext uri="{FF2B5EF4-FFF2-40B4-BE49-F238E27FC236}">
              <a16:creationId xmlns:a16="http://schemas.microsoft.com/office/drawing/2014/main" id="{3635E475-32A9-4735-9A6A-8BF7EC415BBB}"/>
            </a:ext>
          </a:extLst>
        </xdr:cNvPr>
        <xdr:cNvSpPr/>
      </xdr:nvSpPr>
      <xdr:spPr>
        <a:xfrm rot="14867055">
          <a:off x="35149035" y="9894373"/>
          <a:ext cx="720356" cy="346940"/>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52</xdr:col>
      <xdr:colOff>601026</xdr:colOff>
      <xdr:row>37</xdr:row>
      <xdr:rowOff>38100</xdr:rowOff>
    </xdr:from>
    <xdr:to>
      <xdr:col>56</xdr:col>
      <xdr:colOff>609600</xdr:colOff>
      <xdr:row>44</xdr:row>
      <xdr:rowOff>189546</xdr:rowOff>
    </xdr:to>
    <xdr:sp macro="" textlink="">
      <xdr:nvSpPr>
        <xdr:cNvPr id="130" name="Rounded Rectangle 444">
          <a:extLst>
            <a:ext uri="{FF2B5EF4-FFF2-40B4-BE49-F238E27FC236}">
              <a16:creationId xmlns:a16="http://schemas.microsoft.com/office/drawing/2014/main" id="{D48175C7-FEAA-49D3-A4B1-9EB6B16AF42B}"/>
            </a:ext>
          </a:extLst>
        </xdr:cNvPr>
        <xdr:cNvSpPr/>
      </xdr:nvSpPr>
      <xdr:spPr>
        <a:xfrm>
          <a:off x="32401826" y="11201400"/>
          <a:ext cx="2850199" cy="1484946"/>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Condenser Water Pumps</a:t>
          </a:r>
        </a:p>
      </xdr:txBody>
    </xdr:sp>
    <xdr:clientData/>
  </xdr:twoCellAnchor>
  <xdr:twoCellAnchor>
    <xdr:from>
      <xdr:col>40</xdr:col>
      <xdr:colOff>659570</xdr:colOff>
      <xdr:row>35</xdr:row>
      <xdr:rowOff>82063</xdr:rowOff>
    </xdr:from>
    <xdr:to>
      <xdr:col>48</xdr:col>
      <xdr:colOff>380413</xdr:colOff>
      <xdr:row>40</xdr:row>
      <xdr:rowOff>158263</xdr:rowOff>
    </xdr:to>
    <xdr:sp macro="" textlink="">
      <xdr:nvSpPr>
        <xdr:cNvPr id="131" name="Rounded Rectangle 445">
          <a:extLst>
            <a:ext uri="{FF2B5EF4-FFF2-40B4-BE49-F238E27FC236}">
              <a16:creationId xmlns:a16="http://schemas.microsoft.com/office/drawing/2014/main" id="{0759659E-86E0-4F0B-920E-3835051F30E1}"/>
            </a:ext>
          </a:extLst>
        </xdr:cNvPr>
        <xdr:cNvSpPr/>
      </xdr:nvSpPr>
      <xdr:spPr>
        <a:xfrm>
          <a:off x="24649870" y="10867538"/>
          <a:ext cx="4877043" cy="1028700"/>
        </a:xfrm>
        <a:prstGeom prst="roundRect">
          <a:avLst/>
        </a:prstGeom>
        <a:solidFill>
          <a:srgbClr val="FF99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Condensers</a:t>
          </a:r>
        </a:p>
      </xdr:txBody>
    </xdr:sp>
    <xdr:clientData/>
  </xdr:twoCellAnchor>
  <xdr:twoCellAnchor>
    <xdr:from>
      <xdr:col>54</xdr:col>
      <xdr:colOff>312825</xdr:colOff>
      <xdr:row>29</xdr:row>
      <xdr:rowOff>50487</xdr:rowOff>
    </xdr:from>
    <xdr:to>
      <xdr:col>54</xdr:col>
      <xdr:colOff>688553</xdr:colOff>
      <xdr:row>33</xdr:row>
      <xdr:rowOff>2212</xdr:rowOff>
    </xdr:to>
    <xdr:sp macro="" textlink="">
      <xdr:nvSpPr>
        <xdr:cNvPr id="132" name="Right Arrow 446">
          <a:extLst>
            <a:ext uri="{FF2B5EF4-FFF2-40B4-BE49-F238E27FC236}">
              <a16:creationId xmlns:a16="http://schemas.microsoft.com/office/drawing/2014/main" id="{3F86FE3A-8AA6-4F57-890C-82FB94A98189}"/>
            </a:ext>
          </a:extLst>
        </xdr:cNvPr>
        <xdr:cNvSpPr/>
      </xdr:nvSpPr>
      <xdr:spPr>
        <a:xfrm rot="17751813">
          <a:off x="33433702" y="9858785"/>
          <a:ext cx="716900" cy="372553"/>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48</xdr:col>
      <xdr:colOff>35758</xdr:colOff>
      <xdr:row>8</xdr:row>
      <xdr:rowOff>362584</xdr:rowOff>
    </xdr:from>
    <xdr:to>
      <xdr:col>49</xdr:col>
      <xdr:colOff>662940</xdr:colOff>
      <xdr:row>8</xdr:row>
      <xdr:rowOff>367712</xdr:rowOff>
    </xdr:to>
    <xdr:cxnSp macro="">
      <xdr:nvCxnSpPr>
        <xdr:cNvPr id="133" name="Straight Arrow Connector 132">
          <a:extLst>
            <a:ext uri="{FF2B5EF4-FFF2-40B4-BE49-F238E27FC236}">
              <a16:creationId xmlns:a16="http://schemas.microsoft.com/office/drawing/2014/main" id="{7D043B43-E46E-4165-A9C3-F72A547492C5}"/>
            </a:ext>
          </a:extLst>
        </xdr:cNvPr>
        <xdr:cNvCxnSpPr/>
      </xdr:nvCxnSpPr>
      <xdr:spPr>
        <a:xfrm flipH="1">
          <a:off x="29182258" y="5296534"/>
          <a:ext cx="1262182" cy="8303"/>
        </a:xfrm>
        <a:prstGeom prst="straightConnector1">
          <a:avLst/>
        </a:prstGeom>
        <a:noFill/>
        <a:ln w="76200" cap="flat" cmpd="sng" algn="ctr">
          <a:solidFill>
            <a:srgbClr val="00B050"/>
          </a:solidFill>
          <a:prstDash val="solid"/>
          <a:tailEnd type="triangle"/>
        </a:ln>
        <a:effectLst/>
      </xdr:spPr>
    </xdr:cxnSp>
    <xdr:clientData/>
  </xdr:twoCellAnchor>
  <xdr:twoCellAnchor>
    <xdr:from>
      <xdr:col>56</xdr:col>
      <xdr:colOff>563768</xdr:colOff>
      <xdr:row>6</xdr:row>
      <xdr:rowOff>188706</xdr:rowOff>
    </xdr:from>
    <xdr:to>
      <xdr:col>58</xdr:col>
      <xdr:colOff>210464</xdr:colOff>
      <xdr:row>6</xdr:row>
      <xdr:rowOff>582891</xdr:rowOff>
    </xdr:to>
    <xdr:sp macro="" textlink="">
      <xdr:nvSpPr>
        <xdr:cNvPr id="134" name="Right Arrow 448">
          <a:extLst>
            <a:ext uri="{FF2B5EF4-FFF2-40B4-BE49-F238E27FC236}">
              <a16:creationId xmlns:a16="http://schemas.microsoft.com/office/drawing/2014/main" id="{D98AE184-AD7A-418F-8431-663033B7534E}"/>
            </a:ext>
          </a:extLst>
        </xdr:cNvPr>
        <xdr:cNvSpPr/>
      </xdr:nvSpPr>
      <xdr:spPr>
        <a:xfrm rot="10800000">
          <a:off x="35203018" y="3741531"/>
          <a:ext cx="1059571" cy="391010"/>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46</xdr:col>
      <xdr:colOff>502921</xdr:colOff>
      <xdr:row>58</xdr:row>
      <xdr:rowOff>189547</xdr:rowOff>
    </xdr:from>
    <xdr:to>
      <xdr:col>56</xdr:col>
      <xdr:colOff>209552</xdr:colOff>
      <xdr:row>64</xdr:row>
      <xdr:rowOff>14103</xdr:rowOff>
    </xdr:to>
    <xdr:cxnSp macro="">
      <xdr:nvCxnSpPr>
        <xdr:cNvPr id="135" name="Elbow Connector 450">
          <a:extLst>
            <a:ext uri="{FF2B5EF4-FFF2-40B4-BE49-F238E27FC236}">
              <a16:creationId xmlns:a16="http://schemas.microsoft.com/office/drawing/2014/main" id="{EAC33D25-4835-40F6-9CBC-96B85E2B3652}"/>
            </a:ext>
          </a:extLst>
        </xdr:cNvPr>
        <xdr:cNvCxnSpPr>
          <a:stCxn id="143" idx="1"/>
          <a:endCxn id="122" idx="3"/>
        </xdr:cNvCxnSpPr>
      </xdr:nvCxnSpPr>
      <xdr:spPr>
        <a:xfrm rot="10800000" flipV="1">
          <a:off x="28395296" y="15353347"/>
          <a:ext cx="6456681" cy="964381"/>
        </a:xfrm>
        <a:prstGeom prst="bentConnector3">
          <a:avLst>
            <a:gd name="adj1" fmla="val 50000"/>
          </a:avLst>
        </a:prstGeom>
        <a:ln w="57150">
          <a:solidFill>
            <a:srgbClr val="66FF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217868</xdr:colOff>
      <xdr:row>35</xdr:row>
      <xdr:rowOff>96201</xdr:rowOff>
    </xdr:from>
    <xdr:to>
      <xdr:col>52</xdr:col>
      <xdr:colOff>601027</xdr:colOff>
      <xdr:row>41</xdr:row>
      <xdr:rowOff>18573</xdr:rowOff>
    </xdr:to>
    <xdr:cxnSp macro="">
      <xdr:nvCxnSpPr>
        <xdr:cNvPr id="136" name="Elbow Connector 451">
          <a:extLst>
            <a:ext uri="{FF2B5EF4-FFF2-40B4-BE49-F238E27FC236}">
              <a16:creationId xmlns:a16="http://schemas.microsoft.com/office/drawing/2014/main" id="{33B016C4-0E0D-46BD-A534-0BEAA81D59F0}"/>
            </a:ext>
          </a:extLst>
        </xdr:cNvPr>
        <xdr:cNvCxnSpPr>
          <a:stCxn id="130" idx="1"/>
          <a:endCxn id="111" idx="0"/>
        </xdr:cNvCxnSpPr>
      </xdr:nvCxnSpPr>
      <xdr:spPr>
        <a:xfrm rot="10800000">
          <a:off x="28719843" y="10878501"/>
          <a:ext cx="3681984" cy="1065372"/>
        </a:xfrm>
        <a:prstGeom prst="bentConnector4">
          <a:avLst>
            <a:gd name="adj1" fmla="val 41208"/>
            <a:gd name="adj2" fmla="val 121457"/>
          </a:avLst>
        </a:prstGeom>
        <a:noFill/>
        <a:ln w="57150" cap="flat" cmpd="sng" algn="ctr">
          <a:solidFill>
            <a:srgbClr val="00B050"/>
          </a:solidFill>
          <a:prstDash val="solid"/>
          <a:tailEnd type="triangle"/>
        </a:ln>
        <a:effectLst/>
      </xdr:spPr>
    </xdr:cxnSp>
    <xdr:clientData/>
  </xdr:twoCellAnchor>
  <xdr:twoCellAnchor>
    <xdr:from>
      <xdr:col>54</xdr:col>
      <xdr:colOff>372647</xdr:colOff>
      <xdr:row>18</xdr:row>
      <xdr:rowOff>169546</xdr:rowOff>
    </xdr:from>
    <xdr:to>
      <xdr:col>57</xdr:col>
      <xdr:colOff>329565</xdr:colOff>
      <xdr:row>29</xdr:row>
      <xdr:rowOff>60960</xdr:rowOff>
    </xdr:to>
    <xdr:sp macro="" textlink="">
      <xdr:nvSpPr>
        <xdr:cNvPr id="137" name="Rounded Rectangle 452">
          <a:extLst>
            <a:ext uri="{FF2B5EF4-FFF2-40B4-BE49-F238E27FC236}">
              <a16:creationId xmlns:a16="http://schemas.microsoft.com/office/drawing/2014/main" id="{505A45E0-6234-4B8B-9A9D-E93EB601CA30}"/>
            </a:ext>
          </a:extLst>
        </xdr:cNvPr>
        <xdr:cNvSpPr/>
      </xdr:nvSpPr>
      <xdr:spPr>
        <a:xfrm>
          <a:off x="33659347" y="7713346"/>
          <a:ext cx="2020668" cy="1990089"/>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Cooling Towers</a:t>
          </a:r>
        </a:p>
      </xdr:txBody>
    </xdr:sp>
    <xdr:clientData/>
  </xdr:twoCellAnchor>
  <xdr:twoCellAnchor>
    <xdr:from>
      <xdr:col>52</xdr:col>
      <xdr:colOff>740035</xdr:colOff>
      <xdr:row>44</xdr:row>
      <xdr:rowOff>219824</xdr:rowOff>
    </xdr:from>
    <xdr:to>
      <xdr:col>53</xdr:col>
      <xdr:colOff>510800</xdr:colOff>
      <xdr:row>49</xdr:row>
      <xdr:rowOff>95249</xdr:rowOff>
    </xdr:to>
    <xdr:sp macro="" textlink="">
      <xdr:nvSpPr>
        <xdr:cNvPr id="138" name="Right Arrow 453">
          <a:extLst>
            <a:ext uri="{FF2B5EF4-FFF2-40B4-BE49-F238E27FC236}">
              <a16:creationId xmlns:a16="http://schemas.microsoft.com/office/drawing/2014/main" id="{F3C984D6-4A11-4311-B2C2-AA786B0FC2AD}"/>
            </a:ext>
          </a:extLst>
        </xdr:cNvPr>
        <xdr:cNvSpPr/>
      </xdr:nvSpPr>
      <xdr:spPr>
        <a:xfrm rot="16200000">
          <a:off x="32369442" y="12859442"/>
          <a:ext cx="859675" cy="51054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51</xdr:col>
      <xdr:colOff>339091</xdr:colOff>
      <xdr:row>46</xdr:row>
      <xdr:rowOff>226694</xdr:rowOff>
    </xdr:from>
    <xdr:to>
      <xdr:col>54</xdr:col>
      <xdr:colOff>112395</xdr:colOff>
      <xdr:row>50</xdr:row>
      <xdr:rowOff>13971</xdr:rowOff>
    </xdr:to>
    <xdr:sp macro="" textlink="">
      <xdr:nvSpPr>
        <xdr:cNvPr id="139" name="Rounded Rectangle 454">
          <a:extLst>
            <a:ext uri="{FF2B5EF4-FFF2-40B4-BE49-F238E27FC236}">
              <a16:creationId xmlns:a16="http://schemas.microsoft.com/office/drawing/2014/main" id="{26AAB573-207A-4635-820E-E14E3CA24588}"/>
            </a:ext>
          </a:extLst>
        </xdr:cNvPr>
        <xdr:cNvSpPr/>
      </xdr:nvSpPr>
      <xdr:spPr>
        <a:xfrm>
          <a:off x="31530291" y="13066394"/>
          <a:ext cx="1871979" cy="584202"/>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45</xdr:col>
      <xdr:colOff>57150</xdr:colOff>
      <xdr:row>132</xdr:row>
      <xdr:rowOff>123826</xdr:rowOff>
    </xdr:from>
    <xdr:to>
      <xdr:col>57</xdr:col>
      <xdr:colOff>401639</xdr:colOff>
      <xdr:row>140</xdr:row>
      <xdr:rowOff>26988</xdr:rowOff>
    </xdr:to>
    <xdr:sp macro="" textlink="">
      <xdr:nvSpPr>
        <xdr:cNvPr id="140" name="Rounded Rectangle 455">
          <a:extLst>
            <a:ext uri="{FF2B5EF4-FFF2-40B4-BE49-F238E27FC236}">
              <a16:creationId xmlns:a16="http://schemas.microsoft.com/office/drawing/2014/main" id="{F946AC1E-A1FA-4007-BC4B-7C321E03080F}"/>
            </a:ext>
          </a:extLst>
        </xdr:cNvPr>
        <xdr:cNvSpPr/>
      </xdr:nvSpPr>
      <xdr:spPr>
        <a:xfrm>
          <a:off x="27298650" y="29105226"/>
          <a:ext cx="8450264" cy="1357312"/>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b="1">
              <a:solidFill>
                <a:sysClr val="windowText" lastClr="000000"/>
              </a:solidFill>
            </a:rPr>
            <a:t>Typical Air Handling Units (AHUs)</a:t>
          </a:r>
        </a:p>
      </xdr:txBody>
    </xdr:sp>
    <xdr:clientData/>
  </xdr:twoCellAnchor>
  <xdr:twoCellAnchor>
    <xdr:from>
      <xdr:col>37</xdr:col>
      <xdr:colOff>639009</xdr:colOff>
      <xdr:row>8</xdr:row>
      <xdr:rowOff>396875</xdr:rowOff>
    </xdr:from>
    <xdr:to>
      <xdr:col>39</xdr:col>
      <xdr:colOff>452437</xdr:colOff>
      <xdr:row>8</xdr:row>
      <xdr:rowOff>401368</xdr:rowOff>
    </xdr:to>
    <xdr:cxnSp macro="">
      <xdr:nvCxnSpPr>
        <xdr:cNvPr id="141" name="Straight Arrow Connector 140">
          <a:extLst>
            <a:ext uri="{FF2B5EF4-FFF2-40B4-BE49-F238E27FC236}">
              <a16:creationId xmlns:a16="http://schemas.microsoft.com/office/drawing/2014/main" id="{5AD762D2-E42C-4EA6-BA70-BB765A7DE37D}"/>
            </a:ext>
          </a:extLst>
        </xdr:cNvPr>
        <xdr:cNvCxnSpPr/>
      </xdr:nvCxnSpPr>
      <xdr:spPr>
        <a:xfrm flipH="1">
          <a:off x="22695734" y="5330825"/>
          <a:ext cx="1108828" cy="4493"/>
        </a:xfrm>
        <a:prstGeom prst="straightConnector1">
          <a:avLst/>
        </a:prstGeom>
        <a:noFill/>
        <a:ln w="76200" cap="flat" cmpd="sng" algn="ctr">
          <a:solidFill>
            <a:srgbClr val="00B0F0"/>
          </a:solidFill>
          <a:prstDash val="solid"/>
          <a:tailEnd type="triangle"/>
        </a:ln>
        <a:effectLst/>
      </xdr:spPr>
    </xdr:cxnSp>
    <xdr:clientData/>
  </xdr:twoCellAnchor>
  <xdr:twoCellAnchor>
    <xdr:from>
      <xdr:col>43</xdr:col>
      <xdr:colOff>103068</xdr:colOff>
      <xdr:row>8</xdr:row>
      <xdr:rowOff>352107</xdr:rowOff>
    </xdr:from>
    <xdr:to>
      <xdr:col>45</xdr:col>
      <xdr:colOff>63500</xdr:colOff>
      <xdr:row>8</xdr:row>
      <xdr:rowOff>357235</xdr:rowOff>
    </xdr:to>
    <xdr:cxnSp macro="">
      <xdr:nvCxnSpPr>
        <xdr:cNvPr id="142" name="Straight Arrow Connector 141">
          <a:extLst>
            <a:ext uri="{FF2B5EF4-FFF2-40B4-BE49-F238E27FC236}">
              <a16:creationId xmlns:a16="http://schemas.microsoft.com/office/drawing/2014/main" id="{9855D158-4B60-4924-BAD7-AACF6D8383C0}"/>
            </a:ext>
          </a:extLst>
        </xdr:cNvPr>
        <xdr:cNvCxnSpPr/>
      </xdr:nvCxnSpPr>
      <xdr:spPr>
        <a:xfrm flipH="1">
          <a:off x="26052343" y="5289232"/>
          <a:ext cx="1255832" cy="0"/>
        </a:xfrm>
        <a:prstGeom prst="straightConnector1">
          <a:avLst/>
        </a:prstGeom>
        <a:noFill/>
        <a:ln w="76200" cap="flat" cmpd="sng" algn="ctr">
          <a:solidFill>
            <a:srgbClr val="66FFFF"/>
          </a:solidFill>
          <a:prstDash val="solid"/>
          <a:tailEnd type="triangle"/>
        </a:ln>
        <a:effectLst/>
      </xdr:spPr>
    </xdr:cxnSp>
    <xdr:clientData/>
  </xdr:twoCellAnchor>
  <xdr:twoCellAnchor>
    <xdr:from>
      <xdr:col>56</xdr:col>
      <xdr:colOff>209551</xdr:colOff>
      <xdr:row>53</xdr:row>
      <xdr:rowOff>38101</xdr:rowOff>
    </xdr:from>
    <xdr:to>
      <xdr:col>65</xdr:col>
      <xdr:colOff>64453</xdr:colOff>
      <xdr:row>64</xdr:row>
      <xdr:rowOff>112393</xdr:rowOff>
    </xdr:to>
    <xdr:sp macro="" textlink="">
      <xdr:nvSpPr>
        <xdr:cNvPr id="143" name="Rounded Rectangle 458">
          <a:extLst>
            <a:ext uri="{FF2B5EF4-FFF2-40B4-BE49-F238E27FC236}">
              <a16:creationId xmlns:a16="http://schemas.microsoft.com/office/drawing/2014/main" id="{DACDE411-9AD8-4FC8-BDA8-D0F5BED4E3FB}"/>
            </a:ext>
          </a:extLst>
        </xdr:cNvPr>
        <xdr:cNvSpPr/>
      </xdr:nvSpPr>
      <xdr:spPr>
        <a:xfrm>
          <a:off x="34851976" y="14249401"/>
          <a:ext cx="5915977" cy="2169792"/>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Chilled</a:t>
          </a:r>
          <a:r>
            <a:rPr lang="en-US" sz="3200" b="1" u="sng" baseline="0">
              <a:solidFill>
                <a:sysClr val="windowText" lastClr="000000"/>
              </a:solidFill>
            </a:rPr>
            <a:t> Water Loads:</a:t>
          </a:r>
        </a:p>
        <a:p>
          <a:pPr algn="ctr"/>
          <a:r>
            <a:rPr lang="en-US" sz="3200" b="1" u="none" baseline="0">
              <a:solidFill>
                <a:sysClr val="windowText" lastClr="000000"/>
              </a:solidFill>
            </a:rPr>
            <a:t>Air Handling Unit Coils</a:t>
          </a:r>
        </a:p>
        <a:p>
          <a:pPr algn="ctr"/>
          <a:r>
            <a:rPr lang="en-US" sz="3200" b="1" u="none" baseline="0">
              <a:solidFill>
                <a:sysClr val="windowText" lastClr="000000"/>
              </a:solidFill>
            </a:rPr>
            <a:t>Test Lab Water Control System</a:t>
          </a:r>
        </a:p>
      </xdr:txBody>
    </xdr:sp>
    <xdr:clientData/>
  </xdr:twoCellAnchor>
  <xdr:twoCellAnchor>
    <xdr:from>
      <xdr:col>40</xdr:col>
      <xdr:colOff>158750</xdr:colOff>
      <xdr:row>107</xdr:row>
      <xdr:rowOff>119062</xdr:rowOff>
    </xdr:from>
    <xdr:to>
      <xdr:col>59</xdr:col>
      <xdr:colOff>500062</xdr:colOff>
      <xdr:row>123</xdr:row>
      <xdr:rowOff>176873</xdr:rowOff>
    </xdr:to>
    <xdr:sp macro="" textlink="">
      <xdr:nvSpPr>
        <xdr:cNvPr id="144" name="Rounded Rectangle 459">
          <a:extLst>
            <a:ext uri="{FF2B5EF4-FFF2-40B4-BE49-F238E27FC236}">
              <a16:creationId xmlns:a16="http://schemas.microsoft.com/office/drawing/2014/main" id="{D39E31EE-62E7-460E-B4A0-530A36A0B834}"/>
            </a:ext>
          </a:extLst>
        </xdr:cNvPr>
        <xdr:cNvSpPr/>
      </xdr:nvSpPr>
      <xdr:spPr>
        <a:xfrm>
          <a:off x="24164925" y="24582437"/>
          <a:ext cx="13095287" cy="2953411"/>
        </a:xfrm>
        <a:prstGeom prst="roundRect">
          <a:avLst/>
        </a:prstGeom>
        <a:solidFill>
          <a:schemeClr val="accent5">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2400" b="1">
            <a:solidFill>
              <a:sysClr val="windowText" lastClr="000000"/>
            </a:solidFill>
          </a:endParaRPr>
        </a:p>
      </xdr:txBody>
    </xdr:sp>
    <xdr:clientData/>
  </xdr:twoCellAnchor>
  <xdr:twoCellAnchor>
    <xdr:from>
      <xdr:col>45</xdr:col>
      <xdr:colOff>116205</xdr:colOff>
      <xdr:row>107</xdr:row>
      <xdr:rowOff>109537</xdr:rowOff>
    </xdr:from>
    <xdr:to>
      <xdr:col>47</xdr:col>
      <xdr:colOff>28574</xdr:colOff>
      <xdr:row>123</xdr:row>
      <xdr:rowOff>219392</xdr:rowOff>
    </xdr:to>
    <xdr:sp macro="" textlink="">
      <xdr:nvSpPr>
        <xdr:cNvPr id="145" name="Rounded Rectangle 460">
          <a:extLst>
            <a:ext uri="{FF2B5EF4-FFF2-40B4-BE49-F238E27FC236}">
              <a16:creationId xmlns:a16="http://schemas.microsoft.com/office/drawing/2014/main" id="{AA655744-F895-4190-BA10-5E517857D82E}"/>
            </a:ext>
          </a:extLst>
        </xdr:cNvPr>
        <xdr:cNvSpPr/>
      </xdr:nvSpPr>
      <xdr:spPr>
        <a:xfrm>
          <a:off x="27357705" y="24566562"/>
          <a:ext cx="1172844" cy="2967355"/>
        </a:xfrm>
        <a:prstGeom prst="roundRect">
          <a:avLst/>
        </a:prstGeom>
        <a:solidFill>
          <a:srgbClr val="66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Pre-Filters</a:t>
          </a:r>
        </a:p>
      </xdr:txBody>
    </xdr:sp>
    <xdr:clientData/>
  </xdr:twoCellAnchor>
  <xdr:twoCellAnchor>
    <xdr:from>
      <xdr:col>37</xdr:col>
      <xdr:colOff>352425</xdr:colOff>
      <xdr:row>105</xdr:row>
      <xdr:rowOff>38100</xdr:rowOff>
    </xdr:from>
    <xdr:to>
      <xdr:col>42</xdr:col>
      <xdr:colOff>484506</xdr:colOff>
      <xdr:row>108</xdr:row>
      <xdr:rowOff>184783</xdr:rowOff>
    </xdr:to>
    <xdr:sp macro="" textlink="">
      <xdr:nvSpPr>
        <xdr:cNvPr id="146" name="Rounded Rectangle 461">
          <a:extLst>
            <a:ext uri="{FF2B5EF4-FFF2-40B4-BE49-F238E27FC236}">
              <a16:creationId xmlns:a16="http://schemas.microsoft.com/office/drawing/2014/main" id="{92C6F3EC-2744-4D62-A928-EC9458D629B8}"/>
            </a:ext>
          </a:extLst>
        </xdr:cNvPr>
        <xdr:cNvSpPr/>
      </xdr:nvSpPr>
      <xdr:spPr>
        <a:xfrm>
          <a:off x="22409150" y="24136350"/>
          <a:ext cx="3376931" cy="68643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Return Air Fans</a:t>
          </a:r>
        </a:p>
      </xdr:txBody>
    </xdr:sp>
    <xdr:clientData/>
  </xdr:twoCellAnchor>
  <xdr:twoCellAnchor>
    <xdr:from>
      <xdr:col>38</xdr:col>
      <xdr:colOff>104717</xdr:colOff>
      <xdr:row>100</xdr:row>
      <xdr:rowOff>143628</xdr:rowOff>
    </xdr:from>
    <xdr:to>
      <xdr:col>38</xdr:col>
      <xdr:colOff>563187</xdr:colOff>
      <xdr:row>105</xdr:row>
      <xdr:rowOff>36513</xdr:rowOff>
    </xdr:to>
    <xdr:sp macro="" textlink="">
      <xdr:nvSpPr>
        <xdr:cNvPr id="147" name="Right Arrow 462">
          <a:extLst>
            <a:ext uri="{FF2B5EF4-FFF2-40B4-BE49-F238E27FC236}">
              <a16:creationId xmlns:a16="http://schemas.microsoft.com/office/drawing/2014/main" id="{49B5E961-04D9-4A3E-82B6-7CDCEE82CB6E}"/>
            </a:ext>
          </a:extLst>
        </xdr:cNvPr>
        <xdr:cNvSpPr/>
      </xdr:nvSpPr>
      <xdr:spPr>
        <a:xfrm rot="5400000">
          <a:off x="22626797" y="23493948"/>
          <a:ext cx="829510" cy="45212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36</xdr:col>
      <xdr:colOff>321628</xdr:colOff>
      <xdr:row>100</xdr:row>
      <xdr:rowOff>103820</xdr:rowOff>
    </xdr:from>
    <xdr:to>
      <xdr:col>39</xdr:col>
      <xdr:colOff>249880</xdr:colOff>
      <xdr:row>103</xdr:row>
      <xdr:rowOff>65089</xdr:rowOff>
    </xdr:to>
    <xdr:sp macro="" textlink="">
      <xdr:nvSpPr>
        <xdr:cNvPr id="148" name="Rounded Rectangle 463">
          <a:extLst>
            <a:ext uri="{FF2B5EF4-FFF2-40B4-BE49-F238E27FC236}">
              <a16:creationId xmlns:a16="http://schemas.microsoft.com/office/drawing/2014/main" id="{465072D8-1B09-4A20-A4E6-EB6193E8FFAF}"/>
            </a:ext>
          </a:extLst>
        </xdr:cNvPr>
        <xdr:cNvSpPr/>
      </xdr:nvSpPr>
      <xdr:spPr>
        <a:xfrm>
          <a:off x="21705253" y="23271795"/>
          <a:ext cx="1899927" cy="532769"/>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55</xdr:col>
      <xdr:colOff>508268</xdr:colOff>
      <xdr:row>122</xdr:row>
      <xdr:rowOff>152400</xdr:rowOff>
    </xdr:from>
    <xdr:to>
      <xdr:col>60</xdr:col>
      <xdr:colOff>619124</xdr:colOff>
      <xdr:row>125</xdr:row>
      <xdr:rowOff>179555</xdr:rowOff>
    </xdr:to>
    <xdr:sp macro="" textlink="">
      <xdr:nvSpPr>
        <xdr:cNvPr id="149" name="Rounded Rectangle 464">
          <a:extLst>
            <a:ext uri="{FF2B5EF4-FFF2-40B4-BE49-F238E27FC236}">
              <a16:creationId xmlns:a16="http://schemas.microsoft.com/office/drawing/2014/main" id="{C2F68D18-5139-43D1-9F89-06FAA513BBFA}"/>
            </a:ext>
          </a:extLst>
        </xdr:cNvPr>
        <xdr:cNvSpPr/>
      </xdr:nvSpPr>
      <xdr:spPr>
        <a:xfrm>
          <a:off x="34537918" y="27327225"/>
          <a:ext cx="3450956" cy="573255"/>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Supply</a:t>
          </a:r>
          <a:r>
            <a:rPr lang="en-US" sz="3200" b="1" baseline="0">
              <a:solidFill>
                <a:sysClr val="windowText" lastClr="000000"/>
              </a:solidFill>
            </a:rPr>
            <a:t> Air </a:t>
          </a:r>
          <a:r>
            <a:rPr lang="en-US" sz="3200" b="1">
              <a:solidFill>
                <a:sysClr val="windowText" lastClr="000000"/>
              </a:solidFill>
            </a:rPr>
            <a:t>Fans</a:t>
          </a:r>
        </a:p>
      </xdr:txBody>
    </xdr:sp>
    <xdr:clientData/>
  </xdr:twoCellAnchor>
  <xdr:twoCellAnchor>
    <xdr:from>
      <xdr:col>59</xdr:col>
      <xdr:colOff>392691</xdr:colOff>
      <xdr:row>125</xdr:row>
      <xdr:rowOff>182676</xdr:rowOff>
    </xdr:from>
    <xdr:to>
      <xdr:col>60</xdr:col>
      <xdr:colOff>324110</xdr:colOff>
      <xdr:row>130</xdr:row>
      <xdr:rowOff>91121</xdr:rowOff>
    </xdr:to>
    <xdr:sp macro="" textlink="">
      <xdr:nvSpPr>
        <xdr:cNvPr id="150" name="Right Arrow 465">
          <a:extLst>
            <a:ext uri="{FF2B5EF4-FFF2-40B4-BE49-F238E27FC236}">
              <a16:creationId xmlns:a16="http://schemas.microsoft.com/office/drawing/2014/main" id="{6DBC2546-0509-4A45-94D4-4F7BB81327D7}"/>
            </a:ext>
          </a:extLst>
        </xdr:cNvPr>
        <xdr:cNvSpPr/>
      </xdr:nvSpPr>
      <xdr:spPr>
        <a:xfrm rot="16200000">
          <a:off x="37011928" y="28031814"/>
          <a:ext cx="813320" cy="544194"/>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59</xdr:col>
      <xdr:colOff>72390</xdr:colOff>
      <xdr:row>128</xdr:row>
      <xdr:rowOff>18731</xdr:rowOff>
    </xdr:from>
    <xdr:to>
      <xdr:col>62</xdr:col>
      <xdr:colOff>7310</xdr:colOff>
      <xdr:row>131</xdr:row>
      <xdr:rowOff>11431</xdr:rowOff>
    </xdr:to>
    <xdr:sp macro="" textlink="">
      <xdr:nvSpPr>
        <xdr:cNvPr id="151" name="Rounded Rectangle 466">
          <a:extLst>
            <a:ext uri="{FF2B5EF4-FFF2-40B4-BE49-F238E27FC236}">
              <a16:creationId xmlns:a16="http://schemas.microsoft.com/office/drawing/2014/main" id="{82C492BC-5C9C-47AD-BE2A-3C9678D43997}"/>
            </a:ext>
          </a:extLst>
        </xdr:cNvPr>
        <xdr:cNvSpPr/>
      </xdr:nvSpPr>
      <xdr:spPr>
        <a:xfrm>
          <a:off x="36826190" y="28279406"/>
          <a:ext cx="1960570" cy="53245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50</xdr:col>
      <xdr:colOff>615315</xdr:colOff>
      <xdr:row>107</xdr:row>
      <xdr:rowOff>100013</xdr:rowOff>
    </xdr:from>
    <xdr:to>
      <xdr:col>52</xdr:col>
      <xdr:colOff>681988</xdr:colOff>
      <xdr:row>123</xdr:row>
      <xdr:rowOff>209867</xdr:rowOff>
    </xdr:to>
    <xdr:sp macro="" textlink="">
      <xdr:nvSpPr>
        <xdr:cNvPr id="152" name="Rounded Rectangle 498">
          <a:extLst>
            <a:ext uri="{FF2B5EF4-FFF2-40B4-BE49-F238E27FC236}">
              <a16:creationId xmlns:a16="http://schemas.microsoft.com/office/drawing/2014/main" id="{4AD55271-1E29-4870-BDBB-22815AAE196C}"/>
            </a:ext>
          </a:extLst>
        </xdr:cNvPr>
        <xdr:cNvSpPr/>
      </xdr:nvSpPr>
      <xdr:spPr>
        <a:xfrm>
          <a:off x="31060390" y="24563388"/>
          <a:ext cx="1422398" cy="2973704"/>
        </a:xfrm>
        <a:prstGeom prst="roundRect">
          <a:avLst/>
        </a:prstGeom>
        <a:solidFill>
          <a:srgbClr val="66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Chilled Water</a:t>
          </a:r>
          <a:r>
            <a:rPr lang="en-US" sz="2400" b="1" baseline="0">
              <a:solidFill>
                <a:sysClr val="windowText" lastClr="000000"/>
              </a:solidFill>
            </a:rPr>
            <a:t> Cooling </a:t>
          </a:r>
          <a:r>
            <a:rPr lang="en-US" sz="2400" b="1">
              <a:solidFill>
                <a:sysClr val="windowText" lastClr="000000"/>
              </a:solidFill>
            </a:rPr>
            <a:t>Coil</a:t>
          </a:r>
        </a:p>
      </xdr:txBody>
    </xdr:sp>
    <xdr:clientData/>
  </xdr:twoCellAnchor>
  <xdr:twoCellAnchor>
    <xdr:from>
      <xdr:col>51</xdr:col>
      <xdr:colOff>586740</xdr:colOff>
      <xdr:row>102</xdr:row>
      <xdr:rowOff>180586</xdr:rowOff>
    </xdr:from>
    <xdr:to>
      <xdr:col>52</xdr:col>
      <xdr:colOff>710781</xdr:colOff>
      <xdr:row>107</xdr:row>
      <xdr:rowOff>100014</xdr:rowOff>
    </xdr:to>
    <xdr:cxnSp macro="">
      <xdr:nvCxnSpPr>
        <xdr:cNvPr id="153" name="Elbow Connector 499">
          <a:extLst>
            <a:ext uri="{FF2B5EF4-FFF2-40B4-BE49-F238E27FC236}">
              <a16:creationId xmlns:a16="http://schemas.microsoft.com/office/drawing/2014/main" id="{33A8F9C0-D2E5-457C-88AD-A45955B0B2EA}"/>
            </a:ext>
          </a:extLst>
        </xdr:cNvPr>
        <xdr:cNvCxnSpPr>
          <a:stCxn id="166" idx="0"/>
          <a:endCxn id="152" idx="0"/>
        </xdr:cNvCxnSpPr>
      </xdr:nvCxnSpPr>
      <xdr:spPr>
        <a:xfrm rot="5400000">
          <a:off x="31731022" y="23776479"/>
          <a:ext cx="833828" cy="739991"/>
        </a:xfrm>
        <a:prstGeom prst="bentConnector3">
          <a:avLst>
            <a:gd name="adj1" fmla="val 50000"/>
          </a:avLst>
        </a:prstGeom>
        <a:ln w="762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588329</xdr:colOff>
      <xdr:row>115</xdr:row>
      <xdr:rowOff>203199</xdr:rowOff>
    </xdr:from>
    <xdr:to>
      <xdr:col>40</xdr:col>
      <xdr:colOff>141289</xdr:colOff>
      <xdr:row>122</xdr:row>
      <xdr:rowOff>105785</xdr:rowOff>
    </xdr:to>
    <xdr:sp macro="" textlink="">
      <xdr:nvSpPr>
        <xdr:cNvPr id="154" name="Right Arrow 500">
          <a:extLst>
            <a:ext uri="{FF2B5EF4-FFF2-40B4-BE49-F238E27FC236}">
              <a16:creationId xmlns:a16="http://schemas.microsoft.com/office/drawing/2014/main" id="{BF92A867-F900-4F20-B38E-093B5D41E9CD}"/>
            </a:ext>
          </a:extLst>
        </xdr:cNvPr>
        <xdr:cNvSpPr/>
      </xdr:nvSpPr>
      <xdr:spPr>
        <a:xfrm>
          <a:off x="22648229" y="26088974"/>
          <a:ext cx="1499235" cy="1188461"/>
        </a:xfrm>
        <a:prstGeom prst="rightArrow">
          <a:avLst/>
        </a:prstGeom>
        <a:solidFill>
          <a:srgbClr val="FF5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40</xdr:col>
      <xdr:colOff>517527</xdr:colOff>
      <xdr:row>122</xdr:row>
      <xdr:rowOff>195261</xdr:rowOff>
    </xdr:from>
    <xdr:to>
      <xdr:col>45</xdr:col>
      <xdr:colOff>39335</xdr:colOff>
      <xdr:row>124</xdr:row>
      <xdr:rowOff>55529</xdr:rowOff>
    </xdr:to>
    <xdr:pic>
      <xdr:nvPicPr>
        <xdr:cNvPr id="155" name="Picture 154">
          <a:extLst>
            <a:ext uri="{FF2B5EF4-FFF2-40B4-BE49-F238E27FC236}">
              <a16:creationId xmlns:a16="http://schemas.microsoft.com/office/drawing/2014/main" id="{B6112999-D29F-4F5F-81CD-81EE0F8D909C}"/>
            </a:ext>
          </a:extLst>
        </xdr:cNvPr>
        <xdr:cNvPicPr>
          <a:picLocks noChangeAspect="1"/>
        </xdr:cNvPicPr>
      </xdr:nvPicPr>
      <xdr:blipFill>
        <a:blip xmlns:r="http://schemas.openxmlformats.org/officeDocument/2006/relationships" r:embed="rId2"/>
        <a:stretch>
          <a:fillRect/>
        </a:stretch>
      </xdr:blipFill>
      <xdr:spPr>
        <a:xfrm>
          <a:off x="24523702" y="27354211"/>
          <a:ext cx="2757133" cy="238093"/>
        </a:xfrm>
        <a:prstGeom prst="rect">
          <a:avLst/>
        </a:prstGeom>
      </xdr:spPr>
    </xdr:pic>
    <xdr:clientData/>
  </xdr:twoCellAnchor>
  <xdr:twoCellAnchor>
    <xdr:from>
      <xdr:col>51</xdr:col>
      <xdr:colOff>586740</xdr:colOff>
      <xdr:row>123</xdr:row>
      <xdr:rowOff>209866</xdr:rowOff>
    </xdr:from>
    <xdr:to>
      <xdr:col>53</xdr:col>
      <xdr:colOff>200026</xdr:colOff>
      <xdr:row>130</xdr:row>
      <xdr:rowOff>-1</xdr:rowOff>
    </xdr:to>
    <xdr:cxnSp macro="">
      <xdr:nvCxnSpPr>
        <xdr:cNvPr id="156" name="Elbow Connector 502">
          <a:extLst>
            <a:ext uri="{FF2B5EF4-FFF2-40B4-BE49-F238E27FC236}">
              <a16:creationId xmlns:a16="http://schemas.microsoft.com/office/drawing/2014/main" id="{F5A965D6-A671-4B6F-ADDB-297CC7633ECB}"/>
            </a:ext>
          </a:extLst>
        </xdr:cNvPr>
        <xdr:cNvCxnSpPr>
          <a:stCxn id="152" idx="2"/>
        </xdr:cNvCxnSpPr>
      </xdr:nvCxnSpPr>
      <xdr:spPr>
        <a:xfrm rot="16200000" flipH="1">
          <a:off x="31718091" y="27596940"/>
          <a:ext cx="1085533" cy="965836"/>
        </a:xfrm>
        <a:prstGeom prst="bentConnector3">
          <a:avLst>
            <a:gd name="adj1" fmla="val 50000"/>
          </a:avLst>
        </a:prstGeom>
        <a:ln w="76200">
          <a:solidFill>
            <a:srgbClr val="66FF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56</xdr:col>
      <xdr:colOff>125020</xdr:colOff>
      <xdr:row>110</xdr:row>
      <xdr:rowOff>2275</xdr:rowOff>
    </xdr:from>
    <xdr:to>
      <xdr:col>59</xdr:col>
      <xdr:colOff>485775</xdr:colOff>
      <xdr:row>122</xdr:row>
      <xdr:rowOff>133349</xdr:rowOff>
    </xdr:to>
    <xdr:pic>
      <xdr:nvPicPr>
        <xdr:cNvPr id="157" name="Picture 156">
          <a:extLst>
            <a:ext uri="{FF2B5EF4-FFF2-40B4-BE49-F238E27FC236}">
              <a16:creationId xmlns:a16="http://schemas.microsoft.com/office/drawing/2014/main" id="{D9BBDD74-0EED-406D-B8D1-76C3500D31BD}"/>
            </a:ext>
          </a:extLst>
        </xdr:cNvPr>
        <xdr:cNvPicPr>
          <a:picLocks noChangeAspect="1"/>
        </xdr:cNvPicPr>
      </xdr:nvPicPr>
      <xdr:blipFill>
        <a:blip xmlns:r="http://schemas.openxmlformats.org/officeDocument/2006/relationships" r:embed="rId3"/>
        <a:stretch>
          <a:fillRect/>
        </a:stretch>
      </xdr:blipFill>
      <xdr:spPr>
        <a:xfrm>
          <a:off x="34764270" y="25005400"/>
          <a:ext cx="2475305" cy="2302774"/>
        </a:xfrm>
        <a:prstGeom prst="rect">
          <a:avLst/>
        </a:prstGeom>
      </xdr:spPr>
    </xdr:pic>
    <xdr:clientData/>
  </xdr:twoCellAnchor>
  <xdr:twoCellAnchor>
    <xdr:from>
      <xdr:col>59</xdr:col>
      <xdr:colOff>353378</xdr:colOff>
      <xdr:row>110</xdr:row>
      <xdr:rowOff>160337</xdr:rowOff>
    </xdr:from>
    <xdr:to>
      <xdr:col>61</xdr:col>
      <xdr:colOff>493713</xdr:colOff>
      <xdr:row>117</xdr:row>
      <xdr:rowOff>62922</xdr:rowOff>
    </xdr:to>
    <xdr:sp macro="" textlink="">
      <xdr:nvSpPr>
        <xdr:cNvPr id="158" name="Right Arrow 504">
          <a:extLst>
            <a:ext uri="{FF2B5EF4-FFF2-40B4-BE49-F238E27FC236}">
              <a16:creationId xmlns:a16="http://schemas.microsoft.com/office/drawing/2014/main" id="{097B1B12-87C3-4717-AB8C-1CA7418E651C}"/>
            </a:ext>
          </a:extLst>
        </xdr:cNvPr>
        <xdr:cNvSpPr/>
      </xdr:nvSpPr>
      <xdr:spPr>
        <a:xfrm>
          <a:off x="37107178" y="25166637"/>
          <a:ext cx="1457960" cy="1169410"/>
        </a:xfrm>
        <a:prstGeom prst="rightArrow">
          <a:avLst/>
        </a:prstGeom>
        <a:solidFill>
          <a:schemeClr val="tx2">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57</xdr:col>
      <xdr:colOff>354528</xdr:colOff>
      <xdr:row>8</xdr:row>
      <xdr:rowOff>331129</xdr:rowOff>
    </xdr:from>
    <xdr:to>
      <xdr:col>59</xdr:col>
      <xdr:colOff>314960</xdr:colOff>
      <xdr:row>8</xdr:row>
      <xdr:rowOff>336257</xdr:rowOff>
    </xdr:to>
    <xdr:cxnSp macro="">
      <xdr:nvCxnSpPr>
        <xdr:cNvPr id="159" name="Straight Arrow Connector 158">
          <a:extLst>
            <a:ext uri="{FF2B5EF4-FFF2-40B4-BE49-F238E27FC236}">
              <a16:creationId xmlns:a16="http://schemas.microsoft.com/office/drawing/2014/main" id="{30742414-7224-4581-A865-581FCB076177}"/>
            </a:ext>
          </a:extLst>
        </xdr:cNvPr>
        <xdr:cNvCxnSpPr/>
      </xdr:nvCxnSpPr>
      <xdr:spPr>
        <a:xfrm flipH="1">
          <a:off x="35698628" y="5268254"/>
          <a:ext cx="1370132" cy="0"/>
        </a:xfrm>
        <a:prstGeom prst="straightConnector1">
          <a:avLst/>
        </a:prstGeom>
        <a:noFill/>
        <a:ln w="76200" cap="flat" cmpd="sng" algn="ctr">
          <a:solidFill>
            <a:srgbClr val="0000FF"/>
          </a:solidFill>
          <a:prstDash val="solid"/>
          <a:tailEnd type="triangle"/>
        </a:ln>
        <a:effectLst/>
      </xdr:spPr>
    </xdr:cxnSp>
    <xdr:clientData/>
  </xdr:twoCellAnchor>
  <xdr:twoCellAnchor>
    <xdr:from>
      <xdr:col>46</xdr:col>
      <xdr:colOff>609283</xdr:colOff>
      <xdr:row>75</xdr:row>
      <xdr:rowOff>180974</xdr:rowOff>
    </xdr:from>
    <xdr:to>
      <xdr:col>50</xdr:col>
      <xdr:colOff>257175</xdr:colOff>
      <xdr:row>81</xdr:row>
      <xdr:rowOff>146367</xdr:rowOff>
    </xdr:to>
    <xdr:sp macro="" textlink="">
      <xdr:nvSpPr>
        <xdr:cNvPr id="160" name="Rounded Rectangle 507">
          <a:extLst>
            <a:ext uri="{FF2B5EF4-FFF2-40B4-BE49-F238E27FC236}">
              <a16:creationId xmlns:a16="http://schemas.microsoft.com/office/drawing/2014/main" id="{116D3896-CD52-499F-96BE-F9457734789B}"/>
            </a:ext>
          </a:extLst>
        </xdr:cNvPr>
        <xdr:cNvSpPr/>
      </xdr:nvSpPr>
      <xdr:spPr>
        <a:xfrm>
          <a:off x="28498483" y="18586449"/>
          <a:ext cx="2197417" cy="110204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Chilled Water</a:t>
          </a:r>
        </a:p>
        <a:p>
          <a:pPr algn="ctr"/>
          <a:r>
            <a:rPr lang="en-US" sz="2400" b="1" baseline="0">
              <a:solidFill>
                <a:sysClr val="windowText" lastClr="000000"/>
              </a:solidFill>
            </a:rPr>
            <a:t> </a:t>
          </a:r>
          <a:r>
            <a:rPr lang="en-US" sz="2400" b="1">
              <a:solidFill>
                <a:sysClr val="windowText" lastClr="000000"/>
              </a:solidFill>
            </a:rPr>
            <a:t>Pumps</a:t>
          </a:r>
        </a:p>
      </xdr:txBody>
    </xdr:sp>
    <xdr:clientData/>
  </xdr:twoCellAnchor>
  <xdr:twoCellAnchor>
    <xdr:from>
      <xdr:col>47</xdr:col>
      <xdr:colOff>491435</xdr:colOff>
      <xdr:row>71</xdr:row>
      <xdr:rowOff>18529</xdr:rowOff>
    </xdr:from>
    <xdr:to>
      <xdr:col>48</xdr:col>
      <xdr:colOff>373325</xdr:colOff>
      <xdr:row>75</xdr:row>
      <xdr:rowOff>159065</xdr:rowOff>
    </xdr:to>
    <xdr:sp macro="" textlink="">
      <xdr:nvSpPr>
        <xdr:cNvPr id="161" name="Right Arrow 508">
          <a:extLst>
            <a:ext uri="{FF2B5EF4-FFF2-40B4-BE49-F238E27FC236}">
              <a16:creationId xmlns:a16="http://schemas.microsoft.com/office/drawing/2014/main" id="{71C040CE-9F5F-487B-B2B0-74C66BE36D4F}"/>
            </a:ext>
          </a:extLst>
        </xdr:cNvPr>
        <xdr:cNvSpPr/>
      </xdr:nvSpPr>
      <xdr:spPr>
        <a:xfrm rot="5400000">
          <a:off x="28798999" y="17846890"/>
          <a:ext cx="905711" cy="529590"/>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46</xdr:col>
      <xdr:colOff>76200</xdr:colOff>
      <xdr:row>69</xdr:row>
      <xdr:rowOff>-1</xdr:rowOff>
    </xdr:from>
    <xdr:to>
      <xdr:col>49</xdr:col>
      <xdr:colOff>82867</xdr:colOff>
      <xdr:row>72</xdr:row>
      <xdr:rowOff>6350</xdr:rowOff>
    </xdr:to>
    <xdr:sp macro="" textlink="">
      <xdr:nvSpPr>
        <xdr:cNvPr id="162" name="Rounded Rectangle 509">
          <a:extLst>
            <a:ext uri="{FF2B5EF4-FFF2-40B4-BE49-F238E27FC236}">
              <a16:creationId xmlns:a16="http://schemas.microsoft.com/office/drawing/2014/main" id="{F29B6BF1-B411-47F7-96DA-3C8F6FCC480D}"/>
            </a:ext>
          </a:extLst>
        </xdr:cNvPr>
        <xdr:cNvSpPr/>
      </xdr:nvSpPr>
      <xdr:spPr>
        <a:xfrm>
          <a:off x="27965400" y="17259299"/>
          <a:ext cx="1914842" cy="581026"/>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52</xdr:col>
      <xdr:colOff>474772</xdr:colOff>
      <xdr:row>98</xdr:row>
      <xdr:rowOff>172932</xdr:rowOff>
    </xdr:from>
    <xdr:to>
      <xdr:col>53</xdr:col>
      <xdr:colOff>742008</xdr:colOff>
      <xdr:row>104</xdr:row>
      <xdr:rowOff>2242</xdr:rowOff>
    </xdr:to>
    <xdr:grpSp>
      <xdr:nvGrpSpPr>
        <xdr:cNvPr id="163" name="Group 162">
          <a:extLst>
            <a:ext uri="{FF2B5EF4-FFF2-40B4-BE49-F238E27FC236}">
              <a16:creationId xmlns:a16="http://schemas.microsoft.com/office/drawing/2014/main" id="{03EE117B-783C-4940-AA4B-3BBA4B03451C}"/>
            </a:ext>
          </a:extLst>
        </xdr:cNvPr>
        <xdr:cNvGrpSpPr/>
      </xdr:nvGrpSpPr>
      <xdr:grpSpPr>
        <a:xfrm rot="5400000">
          <a:off x="31733656" y="22664931"/>
          <a:ext cx="949898" cy="938842"/>
          <a:chOff x="34690049" y="19373850"/>
          <a:chExt cx="964371" cy="1053048"/>
        </a:xfrm>
      </xdr:grpSpPr>
      <xdr:sp macro="" textlink="">
        <xdr:nvSpPr>
          <xdr:cNvPr id="164" name="Oval 163">
            <a:extLst>
              <a:ext uri="{FF2B5EF4-FFF2-40B4-BE49-F238E27FC236}">
                <a16:creationId xmlns:a16="http://schemas.microsoft.com/office/drawing/2014/main" id="{CFF3D65B-238E-9DB9-8DC4-467E81759666}"/>
              </a:ext>
            </a:extLst>
          </xdr:cNvPr>
          <xdr:cNvSpPr/>
        </xdr:nvSpPr>
        <xdr:spPr>
          <a:xfrm>
            <a:off x="35060181" y="19728381"/>
            <a:ext cx="107613" cy="1156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65" name="Group 164">
            <a:extLst>
              <a:ext uri="{FF2B5EF4-FFF2-40B4-BE49-F238E27FC236}">
                <a16:creationId xmlns:a16="http://schemas.microsoft.com/office/drawing/2014/main" id="{7A250C3B-D4D3-73F8-636E-3BC29D496F33}"/>
              </a:ext>
            </a:extLst>
          </xdr:cNvPr>
          <xdr:cNvGrpSpPr/>
        </xdr:nvGrpSpPr>
        <xdr:grpSpPr>
          <a:xfrm>
            <a:off x="34690049" y="19373850"/>
            <a:ext cx="964371" cy="1053048"/>
            <a:chOff x="34690049" y="19373850"/>
            <a:chExt cx="964371" cy="1053048"/>
          </a:xfrm>
        </xdr:grpSpPr>
        <xdr:sp macro="" textlink="">
          <xdr:nvSpPr>
            <xdr:cNvPr id="166" name="Flowchart: Collate 165">
              <a:extLst>
                <a:ext uri="{FF2B5EF4-FFF2-40B4-BE49-F238E27FC236}">
                  <a16:creationId xmlns:a16="http://schemas.microsoft.com/office/drawing/2014/main" id="{54677D1F-6622-94BE-AB24-FEA25C8C03AB}"/>
                </a:ext>
              </a:extLst>
            </xdr:cNvPr>
            <xdr:cNvSpPr/>
          </xdr:nvSpPr>
          <xdr:spPr>
            <a:xfrm rot="5400000">
              <a:off x="34833079" y="19802326"/>
              <a:ext cx="481542" cy="767602"/>
            </a:xfrm>
            <a:prstGeom prst="flowChartCollat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xnSp macro="">
          <xdr:nvCxnSpPr>
            <xdr:cNvPr id="167" name="Straight Connector 166">
              <a:extLst>
                <a:ext uri="{FF2B5EF4-FFF2-40B4-BE49-F238E27FC236}">
                  <a16:creationId xmlns:a16="http://schemas.microsoft.com/office/drawing/2014/main" id="{8579C3A5-6F80-1D24-2D3E-492175C4CFD2}"/>
                </a:ext>
              </a:extLst>
            </xdr:cNvPr>
            <xdr:cNvCxnSpPr/>
          </xdr:nvCxnSpPr>
          <xdr:spPr>
            <a:xfrm flipH="1">
              <a:off x="35106301" y="19809302"/>
              <a:ext cx="7687" cy="38534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Freeform 515">
              <a:extLst>
                <a:ext uri="{FF2B5EF4-FFF2-40B4-BE49-F238E27FC236}">
                  <a16:creationId xmlns:a16="http://schemas.microsoft.com/office/drawing/2014/main" id="{F8228EB2-ADBA-56E2-6C70-BDD674E2202B}"/>
                </a:ext>
              </a:extLst>
            </xdr:cNvPr>
            <xdr:cNvSpPr/>
          </xdr:nvSpPr>
          <xdr:spPr>
            <a:xfrm>
              <a:off x="35102458" y="19373850"/>
              <a:ext cx="551962" cy="366091"/>
            </a:xfrm>
            <a:custGeom>
              <a:avLst/>
              <a:gdLst>
                <a:gd name="connsiteX0" fmla="*/ 0 w 547175"/>
                <a:gd name="connsiteY0" fmla="*/ 361967 h 361967"/>
                <a:gd name="connsiteX1" fmla="*/ 11430 w 547175"/>
                <a:gd name="connsiteY1" fmla="*/ 342917 h 361967"/>
                <a:gd name="connsiteX2" fmla="*/ 19050 w 547175"/>
                <a:gd name="connsiteY2" fmla="*/ 331487 h 361967"/>
                <a:gd name="connsiteX3" fmla="*/ 22860 w 547175"/>
                <a:gd name="connsiteY3" fmla="*/ 320057 h 361967"/>
                <a:gd name="connsiteX4" fmla="*/ 26670 w 547175"/>
                <a:gd name="connsiteY4" fmla="*/ 281957 h 361967"/>
                <a:gd name="connsiteX5" fmla="*/ 34290 w 547175"/>
                <a:gd name="connsiteY5" fmla="*/ 270527 h 361967"/>
                <a:gd name="connsiteX6" fmla="*/ 45720 w 547175"/>
                <a:gd name="connsiteY6" fmla="*/ 243857 h 361967"/>
                <a:gd name="connsiteX7" fmla="*/ 49530 w 547175"/>
                <a:gd name="connsiteY7" fmla="*/ 232427 h 361967"/>
                <a:gd name="connsiteX8" fmla="*/ 72390 w 547175"/>
                <a:gd name="connsiteY8" fmla="*/ 224807 h 361967"/>
                <a:gd name="connsiteX9" fmla="*/ 76200 w 547175"/>
                <a:gd name="connsiteY9" fmla="*/ 213377 h 361967"/>
                <a:gd name="connsiteX10" fmla="*/ 125730 w 547175"/>
                <a:gd name="connsiteY10" fmla="*/ 205757 h 361967"/>
                <a:gd name="connsiteX11" fmla="*/ 152400 w 547175"/>
                <a:gd name="connsiteY11" fmla="*/ 232427 h 361967"/>
                <a:gd name="connsiteX12" fmla="*/ 163830 w 547175"/>
                <a:gd name="connsiteY12" fmla="*/ 251477 h 361967"/>
                <a:gd name="connsiteX13" fmla="*/ 179070 w 547175"/>
                <a:gd name="connsiteY13" fmla="*/ 255287 h 361967"/>
                <a:gd name="connsiteX14" fmla="*/ 190500 w 547175"/>
                <a:gd name="connsiteY14" fmla="*/ 262907 h 361967"/>
                <a:gd name="connsiteX15" fmla="*/ 213360 w 547175"/>
                <a:gd name="connsiteY15" fmla="*/ 266717 h 361967"/>
                <a:gd name="connsiteX16" fmla="*/ 243840 w 547175"/>
                <a:gd name="connsiteY16" fmla="*/ 274337 h 361967"/>
                <a:gd name="connsiteX17" fmla="*/ 259080 w 547175"/>
                <a:gd name="connsiteY17" fmla="*/ 262907 h 361967"/>
                <a:gd name="connsiteX18" fmla="*/ 262890 w 547175"/>
                <a:gd name="connsiteY18" fmla="*/ 251477 h 361967"/>
                <a:gd name="connsiteX19" fmla="*/ 270510 w 547175"/>
                <a:gd name="connsiteY19" fmla="*/ 240047 h 361967"/>
                <a:gd name="connsiteX20" fmla="*/ 274320 w 547175"/>
                <a:gd name="connsiteY20" fmla="*/ 224807 h 361967"/>
                <a:gd name="connsiteX21" fmla="*/ 281940 w 547175"/>
                <a:gd name="connsiteY21" fmla="*/ 205757 h 361967"/>
                <a:gd name="connsiteX22" fmla="*/ 285750 w 547175"/>
                <a:gd name="connsiteY22" fmla="*/ 175277 h 361967"/>
                <a:gd name="connsiteX23" fmla="*/ 274320 w 547175"/>
                <a:gd name="connsiteY23" fmla="*/ 137177 h 361967"/>
                <a:gd name="connsiteX24" fmla="*/ 270510 w 547175"/>
                <a:gd name="connsiteY24" fmla="*/ 102887 h 361967"/>
                <a:gd name="connsiteX25" fmla="*/ 274320 w 547175"/>
                <a:gd name="connsiteY25" fmla="*/ 83837 h 361967"/>
                <a:gd name="connsiteX26" fmla="*/ 285750 w 547175"/>
                <a:gd name="connsiteY26" fmla="*/ 76217 h 361967"/>
                <a:gd name="connsiteX27" fmla="*/ 320040 w 547175"/>
                <a:gd name="connsiteY27" fmla="*/ 64787 h 361967"/>
                <a:gd name="connsiteX28" fmla="*/ 331470 w 547175"/>
                <a:gd name="connsiteY28" fmla="*/ 60977 h 361967"/>
                <a:gd name="connsiteX29" fmla="*/ 358140 w 547175"/>
                <a:gd name="connsiteY29" fmla="*/ 49547 h 361967"/>
                <a:gd name="connsiteX30" fmla="*/ 388620 w 547175"/>
                <a:gd name="connsiteY30" fmla="*/ 60977 h 361967"/>
                <a:gd name="connsiteX31" fmla="*/ 407670 w 547175"/>
                <a:gd name="connsiteY31" fmla="*/ 64787 h 361967"/>
                <a:gd name="connsiteX32" fmla="*/ 472440 w 547175"/>
                <a:gd name="connsiteY32" fmla="*/ 72407 h 361967"/>
                <a:gd name="connsiteX33" fmla="*/ 529590 w 547175"/>
                <a:gd name="connsiteY33" fmla="*/ 64787 h 361967"/>
                <a:gd name="connsiteX34" fmla="*/ 533400 w 547175"/>
                <a:gd name="connsiteY34" fmla="*/ 53357 h 361967"/>
                <a:gd name="connsiteX35" fmla="*/ 533400 w 547175"/>
                <a:gd name="connsiteY35" fmla="*/ 17 h 36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547175" h="361967">
                  <a:moveTo>
                    <a:pt x="0" y="361967"/>
                  </a:moveTo>
                  <a:cubicBezTo>
                    <a:pt x="3810" y="355617"/>
                    <a:pt x="7505" y="349197"/>
                    <a:pt x="11430" y="342917"/>
                  </a:cubicBezTo>
                  <a:cubicBezTo>
                    <a:pt x="13857" y="339034"/>
                    <a:pt x="17002" y="335583"/>
                    <a:pt x="19050" y="331487"/>
                  </a:cubicBezTo>
                  <a:cubicBezTo>
                    <a:pt x="20846" y="327895"/>
                    <a:pt x="21590" y="323867"/>
                    <a:pt x="22860" y="320057"/>
                  </a:cubicBezTo>
                  <a:cubicBezTo>
                    <a:pt x="24130" y="307357"/>
                    <a:pt x="23800" y="294393"/>
                    <a:pt x="26670" y="281957"/>
                  </a:cubicBezTo>
                  <a:cubicBezTo>
                    <a:pt x="27700" y="277495"/>
                    <a:pt x="32242" y="274623"/>
                    <a:pt x="34290" y="270527"/>
                  </a:cubicBezTo>
                  <a:cubicBezTo>
                    <a:pt x="38615" y="261876"/>
                    <a:pt x="42128" y="252837"/>
                    <a:pt x="45720" y="243857"/>
                  </a:cubicBezTo>
                  <a:cubicBezTo>
                    <a:pt x="47212" y="240128"/>
                    <a:pt x="46262" y="234761"/>
                    <a:pt x="49530" y="232427"/>
                  </a:cubicBezTo>
                  <a:cubicBezTo>
                    <a:pt x="56066" y="227758"/>
                    <a:pt x="72390" y="224807"/>
                    <a:pt x="72390" y="224807"/>
                  </a:cubicBezTo>
                  <a:cubicBezTo>
                    <a:pt x="73660" y="220997"/>
                    <a:pt x="73151" y="215991"/>
                    <a:pt x="76200" y="213377"/>
                  </a:cubicBezTo>
                  <a:cubicBezTo>
                    <a:pt x="96059" y="196355"/>
                    <a:pt x="102256" y="202404"/>
                    <a:pt x="125730" y="205757"/>
                  </a:cubicBezTo>
                  <a:cubicBezTo>
                    <a:pt x="141537" y="216295"/>
                    <a:pt x="138542" y="212630"/>
                    <a:pt x="152400" y="232427"/>
                  </a:cubicBezTo>
                  <a:cubicBezTo>
                    <a:pt x="156647" y="238494"/>
                    <a:pt x="158207" y="246658"/>
                    <a:pt x="163830" y="251477"/>
                  </a:cubicBezTo>
                  <a:cubicBezTo>
                    <a:pt x="167806" y="254885"/>
                    <a:pt x="173990" y="254017"/>
                    <a:pt x="179070" y="255287"/>
                  </a:cubicBezTo>
                  <a:cubicBezTo>
                    <a:pt x="182880" y="257827"/>
                    <a:pt x="186156" y="261459"/>
                    <a:pt x="190500" y="262907"/>
                  </a:cubicBezTo>
                  <a:cubicBezTo>
                    <a:pt x="197829" y="265350"/>
                    <a:pt x="205806" y="265098"/>
                    <a:pt x="213360" y="266717"/>
                  </a:cubicBezTo>
                  <a:cubicBezTo>
                    <a:pt x="223600" y="268911"/>
                    <a:pt x="233680" y="271797"/>
                    <a:pt x="243840" y="274337"/>
                  </a:cubicBezTo>
                  <a:cubicBezTo>
                    <a:pt x="248920" y="270527"/>
                    <a:pt x="255015" y="267785"/>
                    <a:pt x="259080" y="262907"/>
                  </a:cubicBezTo>
                  <a:cubicBezTo>
                    <a:pt x="261651" y="259822"/>
                    <a:pt x="261094" y="255069"/>
                    <a:pt x="262890" y="251477"/>
                  </a:cubicBezTo>
                  <a:cubicBezTo>
                    <a:pt x="264938" y="247381"/>
                    <a:pt x="267970" y="243857"/>
                    <a:pt x="270510" y="240047"/>
                  </a:cubicBezTo>
                  <a:cubicBezTo>
                    <a:pt x="271780" y="234967"/>
                    <a:pt x="272664" y="229775"/>
                    <a:pt x="274320" y="224807"/>
                  </a:cubicBezTo>
                  <a:cubicBezTo>
                    <a:pt x="276483" y="218319"/>
                    <a:pt x="280402" y="212421"/>
                    <a:pt x="281940" y="205757"/>
                  </a:cubicBezTo>
                  <a:cubicBezTo>
                    <a:pt x="284242" y="195780"/>
                    <a:pt x="284480" y="185437"/>
                    <a:pt x="285750" y="175277"/>
                  </a:cubicBezTo>
                  <a:cubicBezTo>
                    <a:pt x="281993" y="164007"/>
                    <a:pt x="276189" y="147146"/>
                    <a:pt x="274320" y="137177"/>
                  </a:cubicBezTo>
                  <a:cubicBezTo>
                    <a:pt x="272201" y="125874"/>
                    <a:pt x="271780" y="114317"/>
                    <a:pt x="270510" y="102887"/>
                  </a:cubicBezTo>
                  <a:cubicBezTo>
                    <a:pt x="271780" y="96537"/>
                    <a:pt x="271107" y="89460"/>
                    <a:pt x="274320" y="83837"/>
                  </a:cubicBezTo>
                  <a:cubicBezTo>
                    <a:pt x="276592" y="79861"/>
                    <a:pt x="281523" y="77978"/>
                    <a:pt x="285750" y="76217"/>
                  </a:cubicBezTo>
                  <a:cubicBezTo>
                    <a:pt x="296871" y="71583"/>
                    <a:pt x="308610" y="68597"/>
                    <a:pt x="320040" y="64787"/>
                  </a:cubicBezTo>
                  <a:cubicBezTo>
                    <a:pt x="323850" y="63517"/>
                    <a:pt x="327878" y="62773"/>
                    <a:pt x="331470" y="60977"/>
                  </a:cubicBezTo>
                  <a:cubicBezTo>
                    <a:pt x="350302" y="51561"/>
                    <a:pt x="341322" y="55153"/>
                    <a:pt x="358140" y="49547"/>
                  </a:cubicBezTo>
                  <a:cubicBezTo>
                    <a:pt x="368300" y="53357"/>
                    <a:pt x="378249" y="57786"/>
                    <a:pt x="388620" y="60977"/>
                  </a:cubicBezTo>
                  <a:cubicBezTo>
                    <a:pt x="394809" y="62881"/>
                    <a:pt x="401254" y="63912"/>
                    <a:pt x="407670" y="64787"/>
                  </a:cubicBezTo>
                  <a:cubicBezTo>
                    <a:pt x="429210" y="67724"/>
                    <a:pt x="450850" y="69867"/>
                    <a:pt x="472440" y="72407"/>
                  </a:cubicBezTo>
                  <a:cubicBezTo>
                    <a:pt x="491490" y="69867"/>
                    <a:pt x="511246" y="70519"/>
                    <a:pt x="529590" y="64787"/>
                  </a:cubicBezTo>
                  <a:cubicBezTo>
                    <a:pt x="533423" y="63589"/>
                    <a:pt x="532702" y="57312"/>
                    <a:pt x="533400" y="53357"/>
                  </a:cubicBezTo>
                  <a:cubicBezTo>
                    <a:pt x="543257" y="-2497"/>
                    <a:pt x="558715" y="17"/>
                    <a:pt x="533400" y="17"/>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44</xdr:col>
      <xdr:colOff>18612</xdr:colOff>
      <xdr:row>67</xdr:row>
      <xdr:rowOff>75612</xdr:rowOff>
    </xdr:from>
    <xdr:to>
      <xdr:col>46</xdr:col>
      <xdr:colOff>609284</xdr:colOff>
      <xdr:row>78</xdr:row>
      <xdr:rowOff>166051</xdr:rowOff>
    </xdr:to>
    <xdr:cxnSp macro="">
      <xdr:nvCxnSpPr>
        <xdr:cNvPr id="169" name="Elbow Connector 517">
          <a:extLst>
            <a:ext uri="{FF2B5EF4-FFF2-40B4-BE49-F238E27FC236}">
              <a16:creationId xmlns:a16="http://schemas.microsoft.com/office/drawing/2014/main" id="{119BA2CD-D4D0-4D27-A5C9-B512D7BCB364}"/>
            </a:ext>
          </a:extLst>
        </xdr:cNvPr>
        <xdr:cNvCxnSpPr>
          <a:stCxn id="122" idx="2"/>
          <a:endCxn id="160" idx="1"/>
        </xdr:cNvCxnSpPr>
      </xdr:nvCxnSpPr>
      <xdr:spPr>
        <a:xfrm rot="16200000" flipH="1">
          <a:off x="26464066" y="17102258"/>
          <a:ext cx="2182764" cy="1886072"/>
        </a:xfrm>
        <a:prstGeom prst="bentConnector2">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257175</xdr:colOff>
      <xdr:row>64</xdr:row>
      <xdr:rowOff>112393</xdr:rowOff>
    </xdr:from>
    <xdr:to>
      <xdr:col>60</xdr:col>
      <xdr:colOff>489427</xdr:colOff>
      <xdr:row>78</xdr:row>
      <xdr:rowOff>166052</xdr:rowOff>
    </xdr:to>
    <xdr:cxnSp macro="">
      <xdr:nvCxnSpPr>
        <xdr:cNvPr id="170" name="Elbow Connector 519">
          <a:extLst>
            <a:ext uri="{FF2B5EF4-FFF2-40B4-BE49-F238E27FC236}">
              <a16:creationId xmlns:a16="http://schemas.microsoft.com/office/drawing/2014/main" id="{45F1364B-F671-4AB7-A700-AFE0BC8F1F23}"/>
            </a:ext>
          </a:extLst>
        </xdr:cNvPr>
        <xdr:cNvCxnSpPr>
          <a:stCxn id="160" idx="3"/>
          <a:endCxn id="143" idx="2"/>
        </xdr:cNvCxnSpPr>
      </xdr:nvCxnSpPr>
      <xdr:spPr>
        <a:xfrm flipV="1">
          <a:off x="30695900" y="16419193"/>
          <a:ext cx="7156927" cy="2717484"/>
        </a:xfrm>
        <a:prstGeom prst="bentConnector2">
          <a:avLst/>
        </a:prstGeom>
        <a:ln w="5715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40</xdr:col>
      <xdr:colOff>167883</xdr:colOff>
      <xdr:row>110</xdr:row>
      <xdr:rowOff>111813</xdr:rowOff>
    </xdr:from>
    <xdr:to>
      <xdr:col>44</xdr:col>
      <xdr:colOff>38100</xdr:colOff>
      <xdr:row>123</xdr:row>
      <xdr:rowOff>66674</xdr:rowOff>
    </xdr:to>
    <xdr:pic>
      <xdr:nvPicPr>
        <xdr:cNvPr id="171" name="Picture 170">
          <a:extLst>
            <a:ext uri="{FF2B5EF4-FFF2-40B4-BE49-F238E27FC236}">
              <a16:creationId xmlns:a16="http://schemas.microsoft.com/office/drawing/2014/main" id="{55F5FF78-61AF-4CF4-99A6-3CA3748280F1}"/>
            </a:ext>
          </a:extLst>
        </xdr:cNvPr>
        <xdr:cNvPicPr>
          <a:picLocks noChangeAspect="1"/>
        </xdr:cNvPicPr>
      </xdr:nvPicPr>
      <xdr:blipFill>
        <a:blip xmlns:r="http://schemas.openxmlformats.org/officeDocument/2006/relationships" r:embed="rId3"/>
        <a:stretch>
          <a:fillRect/>
        </a:stretch>
      </xdr:blipFill>
      <xdr:spPr>
        <a:xfrm>
          <a:off x="24167708" y="25114938"/>
          <a:ext cx="2464192" cy="2310711"/>
        </a:xfrm>
        <a:prstGeom prst="rect">
          <a:avLst/>
        </a:prstGeom>
      </xdr:spPr>
    </xdr:pic>
    <xdr:clientData/>
  </xdr:twoCellAnchor>
  <xdr:twoCellAnchor>
    <xdr:from>
      <xdr:col>48</xdr:col>
      <xdr:colOff>405765</xdr:colOff>
      <xdr:row>123</xdr:row>
      <xdr:rowOff>209866</xdr:rowOff>
    </xdr:from>
    <xdr:to>
      <xdr:col>49</xdr:col>
      <xdr:colOff>619124</xdr:colOff>
      <xdr:row>130</xdr:row>
      <xdr:rowOff>19049</xdr:rowOff>
    </xdr:to>
    <xdr:cxnSp macro="">
      <xdr:nvCxnSpPr>
        <xdr:cNvPr id="172" name="Elbow Connector 590">
          <a:extLst>
            <a:ext uri="{FF2B5EF4-FFF2-40B4-BE49-F238E27FC236}">
              <a16:creationId xmlns:a16="http://schemas.microsoft.com/office/drawing/2014/main" id="{99DD88E8-72DA-48C9-AEB1-BFCD4D2548A5}"/>
            </a:ext>
          </a:extLst>
        </xdr:cNvPr>
        <xdr:cNvCxnSpPr>
          <a:stCxn id="173" idx="2"/>
        </xdr:cNvCxnSpPr>
      </xdr:nvCxnSpPr>
      <xdr:spPr>
        <a:xfrm rot="16200000" flipH="1">
          <a:off x="29433678" y="27658853"/>
          <a:ext cx="1104583" cy="861059"/>
        </a:xfrm>
        <a:prstGeom prst="bentConnector3">
          <a:avLst>
            <a:gd name="adj1" fmla="val 50000"/>
          </a:avLst>
        </a:prstGeom>
        <a:ln w="76200">
          <a:solidFill>
            <a:srgbClr val="FF00FF"/>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310514</xdr:colOff>
      <xdr:row>107</xdr:row>
      <xdr:rowOff>100013</xdr:rowOff>
    </xdr:from>
    <xdr:to>
      <xdr:col>49</xdr:col>
      <xdr:colOff>501013</xdr:colOff>
      <xdr:row>123</xdr:row>
      <xdr:rowOff>209867</xdr:rowOff>
    </xdr:to>
    <xdr:sp macro="" textlink="">
      <xdr:nvSpPr>
        <xdr:cNvPr id="173" name="Rounded Rectangle 591">
          <a:extLst>
            <a:ext uri="{FF2B5EF4-FFF2-40B4-BE49-F238E27FC236}">
              <a16:creationId xmlns:a16="http://schemas.microsoft.com/office/drawing/2014/main" id="{F61BF9A8-A439-45D9-9F8B-1B80ECF1B6D4}"/>
            </a:ext>
          </a:extLst>
        </xdr:cNvPr>
        <xdr:cNvSpPr/>
      </xdr:nvSpPr>
      <xdr:spPr>
        <a:xfrm>
          <a:off x="28812489" y="24563388"/>
          <a:ext cx="1485899" cy="2973704"/>
        </a:xfrm>
        <a:prstGeom prst="roundRect">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Hot Water Heating Coil</a:t>
          </a:r>
        </a:p>
      </xdr:txBody>
    </xdr:sp>
    <xdr:clientData/>
  </xdr:twoCellAnchor>
  <xdr:twoCellAnchor>
    <xdr:from>
      <xdr:col>49</xdr:col>
      <xdr:colOff>284272</xdr:colOff>
      <xdr:row>98</xdr:row>
      <xdr:rowOff>141183</xdr:rowOff>
    </xdr:from>
    <xdr:to>
      <xdr:col>50</xdr:col>
      <xdr:colOff>697559</xdr:colOff>
      <xdr:row>103</xdr:row>
      <xdr:rowOff>164168</xdr:rowOff>
    </xdr:to>
    <xdr:grpSp>
      <xdr:nvGrpSpPr>
        <xdr:cNvPr id="174" name="Group 173">
          <a:extLst>
            <a:ext uri="{FF2B5EF4-FFF2-40B4-BE49-F238E27FC236}">
              <a16:creationId xmlns:a16="http://schemas.microsoft.com/office/drawing/2014/main" id="{FD04A0D0-1402-484A-9BA2-763184666B03}"/>
            </a:ext>
          </a:extLst>
        </xdr:cNvPr>
        <xdr:cNvGrpSpPr/>
      </xdr:nvGrpSpPr>
      <xdr:grpSpPr>
        <a:xfrm rot="5400000">
          <a:off x="29642732" y="22591253"/>
          <a:ext cx="956808" cy="1029610"/>
          <a:chOff x="34690049" y="19373850"/>
          <a:chExt cx="964371" cy="1053048"/>
        </a:xfrm>
      </xdr:grpSpPr>
      <xdr:sp macro="" textlink="">
        <xdr:nvSpPr>
          <xdr:cNvPr id="175" name="Oval 174">
            <a:extLst>
              <a:ext uri="{FF2B5EF4-FFF2-40B4-BE49-F238E27FC236}">
                <a16:creationId xmlns:a16="http://schemas.microsoft.com/office/drawing/2014/main" id="{5755E98B-D6CD-A388-27D3-698AAEF65888}"/>
              </a:ext>
            </a:extLst>
          </xdr:cNvPr>
          <xdr:cNvSpPr/>
        </xdr:nvSpPr>
        <xdr:spPr>
          <a:xfrm>
            <a:off x="35060181" y="19728381"/>
            <a:ext cx="107613" cy="115602"/>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76" name="Group 175">
            <a:extLst>
              <a:ext uri="{FF2B5EF4-FFF2-40B4-BE49-F238E27FC236}">
                <a16:creationId xmlns:a16="http://schemas.microsoft.com/office/drawing/2014/main" id="{ECF46232-1104-AB69-45F5-53DE3471C2AD}"/>
              </a:ext>
            </a:extLst>
          </xdr:cNvPr>
          <xdr:cNvGrpSpPr/>
        </xdr:nvGrpSpPr>
        <xdr:grpSpPr>
          <a:xfrm>
            <a:off x="34690049" y="19373850"/>
            <a:ext cx="964371" cy="1053048"/>
            <a:chOff x="34690049" y="19373850"/>
            <a:chExt cx="964371" cy="1053048"/>
          </a:xfrm>
        </xdr:grpSpPr>
        <xdr:sp macro="" textlink="">
          <xdr:nvSpPr>
            <xdr:cNvPr id="177" name="Flowchart: Collate 176">
              <a:extLst>
                <a:ext uri="{FF2B5EF4-FFF2-40B4-BE49-F238E27FC236}">
                  <a16:creationId xmlns:a16="http://schemas.microsoft.com/office/drawing/2014/main" id="{142F2067-0691-49E8-A389-978A49415D7E}"/>
                </a:ext>
              </a:extLst>
            </xdr:cNvPr>
            <xdr:cNvSpPr/>
          </xdr:nvSpPr>
          <xdr:spPr>
            <a:xfrm rot="5400000">
              <a:off x="34833079" y="19802326"/>
              <a:ext cx="481542" cy="767602"/>
            </a:xfrm>
            <a:prstGeom prst="flowChartCollat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xnSp macro="">
          <xdr:nvCxnSpPr>
            <xdr:cNvPr id="178" name="Straight Connector 177">
              <a:extLst>
                <a:ext uri="{FF2B5EF4-FFF2-40B4-BE49-F238E27FC236}">
                  <a16:creationId xmlns:a16="http://schemas.microsoft.com/office/drawing/2014/main" id="{BA6A1AAC-6539-F86A-7DDE-7AE2E7914328}"/>
                </a:ext>
              </a:extLst>
            </xdr:cNvPr>
            <xdr:cNvCxnSpPr/>
          </xdr:nvCxnSpPr>
          <xdr:spPr>
            <a:xfrm flipH="1">
              <a:off x="35106301" y="19809302"/>
              <a:ext cx="7687" cy="385341"/>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79" name="Freeform 597">
              <a:extLst>
                <a:ext uri="{FF2B5EF4-FFF2-40B4-BE49-F238E27FC236}">
                  <a16:creationId xmlns:a16="http://schemas.microsoft.com/office/drawing/2014/main" id="{C37D47C1-8664-0A3E-2F21-608398F5969E}"/>
                </a:ext>
              </a:extLst>
            </xdr:cNvPr>
            <xdr:cNvSpPr/>
          </xdr:nvSpPr>
          <xdr:spPr>
            <a:xfrm>
              <a:off x="35102458" y="19373850"/>
              <a:ext cx="551962" cy="366091"/>
            </a:xfrm>
            <a:custGeom>
              <a:avLst/>
              <a:gdLst>
                <a:gd name="connsiteX0" fmla="*/ 0 w 547175"/>
                <a:gd name="connsiteY0" fmla="*/ 361967 h 361967"/>
                <a:gd name="connsiteX1" fmla="*/ 11430 w 547175"/>
                <a:gd name="connsiteY1" fmla="*/ 342917 h 361967"/>
                <a:gd name="connsiteX2" fmla="*/ 19050 w 547175"/>
                <a:gd name="connsiteY2" fmla="*/ 331487 h 361967"/>
                <a:gd name="connsiteX3" fmla="*/ 22860 w 547175"/>
                <a:gd name="connsiteY3" fmla="*/ 320057 h 361967"/>
                <a:gd name="connsiteX4" fmla="*/ 26670 w 547175"/>
                <a:gd name="connsiteY4" fmla="*/ 281957 h 361967"/>
                <a:gd name="connsiteX5" fmla="*/ 34290 w 547175"/>
                <a:gd name="connsiteY5" fmla="*/ 270527 h 361967"/>
                <a:gd name="connsiteX6" fmla="*/ 45720 w 547175"/>
                <a:gd name="connsiteY6" fmla="*/ 243857 h 361967"/>
                <a:gd name="connsiteX7" fmla="*/ 49530 w 547175"/>
                <a:gd name="connsiteY7" fmla="*/ 232427 h 361967"/>
                <a:gd name="connsiteX8" fmla="*/ 72390 w 547175"/>
                <a:gd name="connsiteY8" fmla="*/ 224807 h 361967"/>
                <a:gd name="connsiteX9" fmla="*/ 76200 w 547175"/>
                <a:gd name="connsiteY9" fmla="*/ 213377 h 361967"/>
                <a:gd name="connsiteX10" fmla="*/ 125730 w 547175"/>
                <a:gd name="connsiteY10" fmla="*/ 205757 h 361967"/>
                <a:gd name="connsiteX11" fmla="*/ 152400 w 547175"/>
                <a:gd name="connsiteY11" fmla="*/ 232427 h 361967"/>
                <a:gd name="connsiteX12" fmla="*/ 163830 w 547175"/>
                <a:gd name="connsiteY12" fmla="*/ 251477 h 361967"/>
                <a:gd name="connsiteX13" fmla="*/ 179070 w 547175"/>
                <a:gd name="connsiteY13" fmla="*/ 255287 h 361967"/>
                <a:gd name="connsiteX14" fmla="*/ 190500 w 547175"/>
                <a:gd name="connsiteY14" fmla="*/ 262907 h 361967"/>
                <a:gd name="connsiteX15" fmla="*/ 213360 w 547175"/>
                <a:gd name="connsiteY15" fmla="*/ 266717 h 361967"/>
                <a:gd name="connsiteX16" fmla="*/ 243840 w 547175"/>
                <a:gd name="connsiteY16" fmla="*/ 274337 h 361967"/>
                <a:gd name="connsiteX17" fmla="*/ 259080 w 547175"/>
                <a:gd name="connsiteY17" fmla="*/ 262907 h 361967"/>
                <a:gd name="connsiteX18" fmla="*/ 262890 w 547175"/>
                <a:gd name="connsiteY18" fmla="*/ 251477 h 361967"/>
                <a:gd name="connsiteX19" fmla="*/ 270510 w 547175"/>
                <a:gd name="connsiteY19" fmla="*/ 240047 h 361967"/>
                <a:gd name="connsiteX20" fmla="*/ 274320 w 547175"/>
                <a:gd name="connsiteY20" fmla="*/ 224807 h 361967"/>
                <a:gd name="connsiteX21" fmla="*/ 281940 w 547175"/>
                <a:gd name="connsiteY21" fmla="*/ 205757 h 361967"/>
                <a:gd name="connsiteX22" fmla="*/ 285750 w 547175"/>
                <a:gd name="connsiteY22" fmla="*/ 175277 h 361967"/>
                <a:gd name="connsiteX23" fmla="*/ 274320 w 547175"/>
                <a:gd name="connsiteY23" fmla="*/ 137177 h 361967"/>
                <a:gd name="connsiteX24" fmla="*/ 270510 w 547175"/>
                <a:gd name="connsiteY24" fmla="*/ 102887 h 361967"/>
                <a:gd name="connsiteX25" fmla="*/ 274320 w 547175"/>
                <a:gd name="connsiteY25" fmla="*/ 83837 h 361967"/>
                <a:gd name="connsiteX26" fmla="*/ 285750 w 547175"/>
                <a:gd name="connsiteY26" fmla="*/ 76217 h 361967"/>
                <a:gd name="connsiteX27" fmla="*/ 320040 w 547175"/>
                <a:gd name="connsiteY27" fmla="*/ 64787 h 361967"/>
                <a:gd name="connsiteX28" fmla="*/ 331470 w 547175"/>
                <a:gd name="connsiteY28" fmla="*/ 60977 h 361967"/>
                <a:gd name="connsiteX29" fmla="*/ 358140 w 547175"/>
                <a:gd name="connsiteY29" fmla="*/ 49547 h 361967"/>
                <a:gd name="connsiteX30" fmla="*/ 388620 w 547175"/>
                <a:gd name="connsiteY30" fmla="*/ 60977 h 361967"/>
                <a:gd name="connsiteX31" fmla="*/ 407670 w 547175"/>
                <a:gd name="connsiteY31" fmla="*/ 64787 h 361967"/>
                <a:gd name="connsiteX32" fmla="*/ 472440 w 547175"/>
                <a:gd name="connsiteY32" fmla="*/ 72407 h 361967"/>
                <a:gd name="connsiteX33" fmla="*/ 529590 w 547175"/>
                <a:gd name="connsiteY33" fmla="*/ 64787 h 361967"/>
                <a:gd name="connsiteX34" fmla="*/ 533400 w 547175"/>
                <a:gd name="connsiteY34" fmla="*/ 53357 h 361967"/>
                <a:gd name="connsiteX35" fmla="*/ 533400 w 547175"/>
                <a:gd name="connsiteY35" fmla="*/ 17 h 36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547175" h="361967">
                  <a:moveTo>
                    <a:pt x="0" y="361967"/>
                  </a:moveTo>
                  <a:cubicBezTo>
                    <a:pt x="3810" y="355617"/>
                    <a:pt x="7505" y="349197"/>
                    <a:pt x="11430" y="342917"/>
                  </a:cubicBezTo>
                  <a:cubicBezTo>
                    <a:pt x="13857" y="339034"/>
                    <a:pt x="17002" y="335583"/>
                    <a:pt x="19050" y="331487"/>
                  </a:cubicBezTo>
                  <a:cubicBezTo>
                    <a:pt x="20846" y="327895"/>
                    <a:pt x="21590" y="323867"/>
                    <a:pt x="22860" y="320057"/>
                  </a:cubicBezTo>
                  <a:cubicBezTo>
                    <a:pt x="24130" y="307357"/>
                    <a:pt x="23800" y="294393"/>
                    <a:pt x="26670" y="281957"/>
                  </a:cubicBezTo>
                  <a:cubicBezTo>
                    <a:pt x="27700" y="277495"/>
                    <a:pt x="32242" y="274623"/>
                    <a:pt x="34290" y="270527"/>
                  </a:cubicBezTo>
                  <a:cubicBezTo>
                    <a:pt x="38615" y="261876"/>
                    <a:pt x="42128" y="252837"/>
                    <a:pt x="45720" y="243857"/>
                  </a:cubicBezTo>
                  <a:cubicBezTo>
                    <a:pt x="47212" y="240128"/>
                    <a:pt x="46262" y="234761"/>
                    <a:pt x="49530" y="232427"/>
                  </a:cubicBezTo>
                  <a:cubicBezTo>
                    <a:pt x="56066" y="227758"/>
                    <a:pt x="72390" y="224807"/>
                    <a:pt x="72390" y="224807"/>
                  </a:cubicBezTo>
                  <a:cubicBezTo>
                    <a:pt x="73660" y="220997"/>
                    <a:pt x="73151" y="215991"/>
                    <a:pt x="76200" y="213377"/>
                  </a:cubicBezTo>
                  <a:cubicBezTo>
                    <a:pt x="96059" y="196355"/>
                    <a:pt x="102256" y="202404"/>
                    <a:pt x="125730" y="205757"/>
                  </a:cubicBezTo>
                  <a:cubicBezTo>
                    <a:pt x="141537" y="216295"/>
                    <a:pt x="138542" y="212630"/>
                    <a:pt x="152400" y="232427"/>
                  </a:cubicBezTo>
                  <a:cubicBezTo>
                    <a:pt x="156647" y="238494"/>
                    <a:pt x="158207" y="246658"/>
                    <a:pt x="163830" y="251477"/>
                  </a:cubicBezTo>
                  <a:cubicBezTo>
                    <a:pt x="167806" y="254885"/>
                    <a:pt x="173990" y="254017"/>
                    <a:pt x="179070" y="255287"/>
                  </a:cubicBezTo>
                  <a:cubicBezTo>
                    <a:pt x="182880" y="257827"/>
                    <a:pt x="186156" y="261459"/>
                    <a:pt x="190500" y="262907"/>
                  </a:cubicBezTo>
                  <a:cubicBezTo>
                    <a:pt x="197829" y="265350"/>
                    <a:pt x="205806" y="265098"/>
                    <a:pt x="213360" y="266717"/>
                  </a:cubicBezTo>
                  <a:cubicBezTo>
                    <a:pt x="223600" y="268911"/>
                    <a:pt x="233680" y="271797"/>
                    <a:pt x="243840" y="274337"/>
                  </a:cubicBezTo>
                  <a:cubicBezTo>
                    <a:pt x="248920" y="270527"/>
                    <a:pt x="255015" y="267785"/>
                    <a:pt x="259080" y="262907"/>
                  </a:cubicBezTo>
                  <a:cubicBezTo>
                    <a:pt x="261651" y="259822"/>
                    <a:pt x="261094" y="255069"/>
                    <a:pt x="262890" y="251477"/>
                  </a:cubicBezTo>
                  <a:cubicBezTo>
                    <a:pt x="264938" y="247381"/>
                    <a:pt x="267970" y="243857"/>
                    <a:pt x="270510" y="240047"/>
                  </a:cubicBezTo>
                  <a:cubicBezTo>
                    <a:pt x="271780" y="234967"/>
                    <a:pt x="272664" y="229775"/>
                    <a:pt x="274320" y="224807"/>
                  </a:cubicBezTo>
                  <a:cubicBezTo>
                    <a:pt x="276483" y="218319"/>
                    <a:pt x="280402" y="212421"/>
                    <a:pt x="281940" y="205757"/>
                  </a:cubicBezTo>
                  <a:cubicBezTo>
                    <a:pt x="284242" y="195780"/>
                    <a:pt x="284480" y="185437"/>
                    <a:pt x="285750" y="175277"/>
                  </a:cubicBezTo>
                  <a:cubicBezTo>
                    <a:pt x="281993" y="164007"/>
                    <a:pt x="276189" y="147146"/>
                    <a:pt x="274320" y="137177"/>
                  </a:cubicBezTo>
                  <a:cubicBezTo>
                    <a:pt x="272201" y="125874"/>
                    <a:pt x="271780" y="114317"/>
                    <a:pt x="270510" y="102887"/>
                  </a:cubicBezTo>
                  <a:cubicBezTo>
                    <a:pt x="271780" y="96537"/>
                    <a:pt x="271107" y="89460"/>
                    <a:pt x="274320" y="83837"/>
                  </a:cubicBezTo>
                  <a:cubicBezTo>
                    <a:pt x="276592" y="79861"/>
                    <a:pt x="281523" y="77978"/>
                    <a:pt x="285750" y="76217"/>
                  </a:cubicBezTo>
                  <a:cubicBezTo>
                    <a:pt x="296871" y="71583"/>
                    <a:pt x="308610" y="68597"/>
                    <a:pt x="320040" y="64787"/>
                  </a:cubicBezTo>
                  <a:cubicBezTo>
                    <a:pt x="323850" y="63517"/>
                    <a:pt x="327878" y="62773"/>
                    <a:pt x="331470" y="60977"/>
                  </a:cubicBezTo>
                  <a:cubicBezTo>
                    <a:pt x="350302" y="51561"/>
                    <a:pt x="341322" y="55153"/>
                    <a:pt x="358140" y="49547"/>
                  </a:cubicBezTo>
                  <a:cubicBezTo>
                    <a:pt x="368300" y="53357"/>
                    <a:pt x="378249" y="57786"/>
                    <a:pt x="388620" y="60977"/>
                  </a:cubicBezTo>
                  <a:cubicBezTo>
                    <a:pt x="394809" y="62881"/>
                    <a:pt x="401254" y="63912"/>
                    <a:pt x="407670" y="64787"/>
                  </a:cubicBezTo>
                  <a:cubicBezTo>
                    <a:pt x="429210" y="67724"/>
                    <a:pt x="450850" y="69867"/>
                    <a:pt x="472440" y="72407"/>
                  </a:cubicBezTo>
                  <a:cubicBezTo>
                    <a:pt x="491490" y="69867"/>
                    <a:pt x="511246" y="70519"/>
                    <a:pt x="529590" y="64787"/>
                  </a:cubicBezTo>
                  <a:cubicBezTo>
                    <a:pt x="533423" y="63589"/>
                    <a:pt x="532702" y="57312"/>
                    <a:pt x="533400" y="53357"/>
                  </a:cubicBezTo>
                  <a:cubicBezTo>
                    <a:pt x="543257" y="-2497"/>
                    <a:pt x="558715" y="17"/>
                    <a:pt x="533400" y="17"/>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twoCellAnchor>
    <xdr:from>
      <xdr:col>53</xdr:col>
      <xdr:colOff>112593</xdr:colOff>
      <xdr:row>8</xdr:row>
      <xdr:rowOff>349250</xdr:rowOff>
    </xdr:from>
    <xdr:to>
      <xdr:col>55</xdr:col>
      <xdr:colOff>73025</xdr:colOff>
      <xdr:row>8</xdr:row>
      <xdr:rowOff>354378</xdr:rowOff>
    </xdr:to>
    <xdr:cxnSp macro="">
      <xdr:nvCxnSpPr>
        <xdr:cNvPr id="180" name="Straight Arrow Connector 179">
          <a:extLst>
            <a:ext uri="{FF2B5EF4-FFF2-40B4-BE49-F238E27FC236}">
              <a16:creationId xmlns:a16="http://schemas.microsoft.com/office/drawing/2014/main" id="{AE871F18-62E0-4E4C-B5EE-653C980AB1F5}"/>
            </a:ext>
          </a:extLst>
        </xdr:cNvPr>
        <xdr:cNvCxnSpPr/>
      </xdr:nvCxnSpPr>
      <xdr:spPr>
        <a:xfrm flipH="1">
          <a:off x="32659518" y="5286375"/>
          <a:ext cx="1446332" cy="0"/>
        </a:xfrm>
        <a:prstGeom prst="straightConnector1">
          <a:avLst/>
        </a:prstGeom>
        <a:noFill/>
        <a:ln w="76200" cap="flat" cmpd="sng" algn="ctr">
          <a:solidFill>
            <a:srgbClr val="66FF66"/>
          </a:solidFill>
          <a:prstDash val="solid"/>
          <a:tailEnd type="triangle"/>
        </a:ln>
        <a:effectLst/>
      </xdr:spPr>
    </xdr:cxnSp>
    <xdr:clientData/>
  </xdr:twoCellAnchor>
  <xdr:twoCellAnchor>
    <xdr:from>
      <xdr:col>48</xdr:col>
      <xdr:colOff>405764</xdr:colOff>
      <xdr:row>102</xdr:row>
      <xdr:rowOff>152011</xdr:rowOff>
    </xdr:from>
    <xdr:to>
      <xdr:col>49</xdr:col>
      <xdr:colOff>526814</xdr:colOff>
      <xdr:row>107</xdr:row>
      <xdr:rowOff>100013</xdr:rowOff>
    </xdr:to>
    <xdr:cxnSp macro="">
      <xdr:nvCxnSpPr>
        <xdr:cNvPr id="181" name="Elbow Connector 678">
          <a:extLst>
            <a:ext uri="{FF2B5EF4-FFF2-40B4-BE49-F238E27FC236}">
              <a16:creationId xmlns:a16="http://schemas.microsoft.com/office/drawing/2014/main" id="{10893BF3-215F-43D8-8433-F6F216F9FEE6}"/>
            </a:ext>
          </a:extLst>
        </xdr:cNvPr>
        <xdr:cNvCxnSpPr>
          <a:stCxn id="177" idx="0"/>
          <a:endCxn id="173" idx="0"/>
        </xdr:cNvCxnSpPr>
      </xdr:nvCxnSpPr>
      <xdr:spPr>
        <a:xfrm rot="5400000">
          <a:off x="29503850" y="23749400"/>
          <a:ext cx="865577" cy="762400"/>
        </a:xfrm>
        <a:prstGeom prst="bentConnector3">
          <a:avLst>
            <a:gd name="adj1" fmla="val 50000"/>
          </a:avLst>
        </a:prstGeom>
        <a:ln w="762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614878</xdr:colOff>
      <xdr:row>6</xdr:row>
      <xdr:rowOff>304800</xdr:rowOff>
    </xdr:from>
    <xdr:to>
      <xdr:col>62</xdr:col>
      <xdr:colOff>714375</xdr:colOff>
      <xdr:row>6</xdr:row>
      <xdr:rowOff>323898</xdr:rowOff>
    </xdr:to>
    <xdr:cxnSp macro="">
      <xdr:nvCxnSpPr>
        <xdr:cNvPr id="182" name="Straight Arrow Connector 181">
          <a:extLst>
            <a:ext uri="{FF2B5EF4-FFF2-40B4-BE49-F238E27FC236}">
              <a16:creationId xmlns:a16="http://schemas.microsoft.com/office/drawing/2014/main" id="{7E32AB07-45C5-4362-A9C1-9BFDFA3E7624}"/>
            </a:ext>
          </a:extLst>
        </xdr:cNvPr>
        <xdr:cNvCxnSpPr/>
      </xdr:nvCxnSpPr>
      <xdr:spPr>
        <a:xfrm flipH="1">
          <a:off x="37984628" y="3857625"/>
          <a:ext cx="1493322" cy="19098"/>
        </a:xfrm>
        <a:prstGeom prst="straightConnector1">
          <a:avLst/>
        </a:prstGeom>
        <a:noFill/>
        <a:ln w="76200" cap="flat" cmpd="sng" algn="ctr">
          <a:solidFill>
            <a:srgbClr val="FF00FF"/>
          </a:solidFill>
          <a:prstDash val="solid"/>
          <a:tailEnd type="triangle"/>
        </a:ln>
        <a:effectLst/>
      </xdr:spPr>
    </xdr:cxnSp>
    <xdr:clientData/>
  </xdr:twoCellAnchor>
  <xdr:twoCellAnchor>
    <xdr:from>
      <xdr:col>61</xdr:col>
      <xdr:colOff>597416</xdr:colOff>
      <xdr:row>8</xdr:row>
      <xdr:rowOff>333374</xdr:rowOff>
    </xdr:from>
    <xdr:to>
      <xdr:col>64</xdr:col>
      <xdr:colOff>85724</xdr:colOff>
      <xdr:row>8</xdr:row>
      <xdr:rowOff>355306</xdr:rowOff>
    </xdr:to>
    <xdr:cxnSp macro="">
      <xdr:nvCxnSpPr>
        <xdr:cNvPr id="183" name="Straight Arrow Connector 182">
          <a:extLst>
            <a:ext uri="{FF2B5EF4-FFF2-40B4-BE49-F238E27FC236}">
              <a16:creationId xmlns:a16="http://schemas.microsoft.com/office/drawing/2014/main" id="{FA56D3D8-27C6-4863-9604-6528C6F209D7}"/>
            </a:ext>
          </a:extLst>
        </xdr:cNvPr>
        <xdr:cNvCxnSpPr/>
      </xdr:nvCxnSpPr>
      <xdr:spPr>
        <a:xfrm flipH="1">
          <a:off x="38672016" y="5270499"/>
          <a:ext cx="1507608" cy="15582"/>
        </a:xfrm>
        <a:prstGeom prst="straightConnector1">
          <a:avLst/>
        </a:prstGeom>
        <a:noFill/>
        <a:ln w="76200" cap="flat" cmpd="sng" algn="ctr">
          <a:solidFill>
            <a:srgbClr val="FF00FF"/>
          </a:solidFill>
          <a:prstDash val="dash"/>
          <a:tailEnd type="triangle"/>
        </a:ln>
        <a:effectLst/>
      </xdr:spPr>
    </xdr:cxnSp>
    <xdr:clientData/>
  </xdr:twoCellAnchor>
  <xdr:twoCellAnchor>
    <xdr:from>
      <xdr:col>95</xdr:col>
      <xdr:colOff>629577</xdr:colOff>
      <xdr:row>58</xdr:row>
      <xdr:rowOff>17145</xdr:rowOff>
    </xdr:from>
    <xdr:to>
      <xdr:col>96</xdr:col>
      <xdr:colOff>607728</xdr:colOff>
      <xdr:row>62</xdr:row>
      <xdr:rowOff>94296</xdr:rowOff>
    </xdr:to>
    <xdr:sp macro="" textlink="">
      <xdr:nvSpPr>
        <xdr:cNvPr id="184" name="Right Arrow 1">
          <a:extLst>
            <a:ext uri="{FF2B5EF4-FFF2-40B4-BE49-F238E27FC236}">
              <a16:creationId xmlns:a16="http://schemas.microsoft.com/office/drawing/2014/main" id="{D849F1EF-A144-4FC3-B494-410E92527374}"/>
            </a:ext>
          </a:extLst>
        </xdr:cNvPr>
        <xdr:cNvSpPr/>
      </xdr:nvSpPr>
      <xdr:spPr>
        <a:xfrm rot="16200000">
          <a:off x="59015952" y="15297120"/>
          <a:ext cx="839151" cy="606801"/>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v</a:t>
          </a:r>
        </a:p>
      </xdr:txBody>
    </xdr:sp>
    <xdr:clientData/>
  </xdr:twoCellAnchor>
  <xdr:twoCellAnchor>
    <xdr:from>
      <xdr:col>78</xdr:col>
      <xdr:colOff>249555</xdr:colOff>
      <xdr:row>38</xdr:row>
      <xdr:rowOff>152400</xdr:rowOff>
    </xdr:from>
    <xdr:to>
      <xdr:col>79</xdr:col>
      <xdr:colOff>200103</xdr:colOff>
      <xdr:row>43</xdr:row>
      <xdr:rowOff>93540</xdr:rowOff>
    </xdr:to>
    <xdr:sp macro="" textlink="">
      <xdr:nvSpPr>
        <xdr:cNvPr id="185" name="Down Arrow 5">
          <a:extLst>
            <a:ext uri="{FF2B5EF4-FFF2-40B4-BE49-F238E27FC236}">
              <a16:creationId xmlns:a16="http://schemas.microsoft.com/office/drawing/2014/main" id="{6EF0A4F1-4C5D-4516-83A4-922AB66A6863}"/>
            </a:ext>
          </a:extLst>
        </xdr:cNvPr>
        <xdr:cNvSpPr/>
      </xdr:nvSpPr>
      <xdr:spPr>
        <a:xfrm>
          <a:off x="48407955" y="11506200"/>
          <a:ext cx="556973" cy="893640"/>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86</xdr:col>
      <xdr:colOff>588646</xdr:colOff>
      <xdr:row>16</xdr:row>
      <xdr:rowOff>76198</xdr:rowOff>
    </xdr:from>
    <xdr:to>
      <xdr:col>87</xdr:col>
      <xdr:colOff>464900</xdr:colOff>
      <xdr:row>22</xdr:row>
      <xdr:rowOff>148783</xdr:rowOff>
    </xdr:to>
    <xdr:sp macro="" textlink="">
      <xdr:nvSpPr>
        <xdr:cNvPr id="186" name="Down Arrow 6">
          <a:extLst>
            <a:ext uri="{FF2B5EF4-FFF2-40B4-BE49-F238E27FC236}">
              <a16:creationId xmlns:a16="http://schemas.microsoft.com/office/drawing/2014/main" id="{5F561B30-5939-4756-84A0-8C6CB2934C22}"/>
            </a:ext>
          </a:extLst>
        </xdr:cNvPr>
        <xdr:cNvSpPr/>
      </xdr:nvSpPr>
      <xdr:spPr>
        <a:xfrm rot="10800000">
          <a:off x="53623846" y="7238998"/>
          <a:ext cx="489029" cy="1212410"/>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71</xdr:col>
      <xdr:colOff>520906</xdr:colOff>
      <xdr:row>8</xdr:row>
      <xdr:rowOff>145844</xdr:rowOff>
    </xdr:from>
    <xdr:to>
      <xdr:col>73</xdr:col>
      <xdr:colOff>167602</xdr:colOff>
      <xdr:row>8</xdr:row>
      <xdr:rowOff>544791</xdr:rowOff>
    </xdr:to>
    <xdr:sp macro="" textlink="">
      <xdr:nvSpPr>
        <xdr:cNvPr id="187" name="Right Arrow 7">
          <a:extLst>
            <a:ext uri="{FF2B5EF4-FFF2-40B4-BE49-F238E27FC236}">
              <a16:creationId xmlns:a16="http://schemas.microsoft.com/office/drawing/2014/main" id="{2D1BC4D7-0DB4-492D-875D-CF122D4F7353}"/>
            </a:ext>
          </a:extLst>
        </xdr:cNvPr>
        <xdr:cNvSpPr/>
      </xdr:nvSpPr>
      <xdr:spPr>
        <a:xfrm rot="10800000">
          <a:off x="44415281" y="5076619"/>
          <a:ext cx="859546" cy="398947"/>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91</xdr:col>
      <xdr:colOff>191426</xdr:colOff>
      <xdr:row>27</xdr:row>
      <xdr:rowOff>112396</xdr:rowOff>
    </xdr:from>
    <xdr:to>
      <xdr:col>92</xdr:col>
      <xdr:colOff>160053</xdr:colOff>
      <xdr:row>31</xdr:row>
      <xdr:rowOff>189547</xdr:rowOff>
    </xdr:to>
    <xdr:sp macro="" textlink="">
      <xdr:nvSpPr>
        <xdr:cNvPr id="188" name="Right Arrow 8">
          <a:extLst>
            <a:ext uri="{FF2B5EF4-FFF2-40B4-BE49-F238E27FC236}">
              <a16:creationId xmlns:a16="http://schemas.microsoft.com/office/drawing/2014/main" id="{01063C5D-D9D8-4D45-A524-E75D16037C3C}"/>
            </a:ext>
          </a:extLst>
        </xdr:cNvPr>
        <xdr:cNvSpPr/>
      </xdr:nvSpPr>
      <xdr:spPr>
        <a:xfrm rot="16200000">
          <a:off x="56145751" y="9499571"/>
          <a:ext cx="839151" cy="581402"/>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v</a:t>
          </a:r>
        </a:p>
      </xdr:txBody>
    </xdr:sp>
    <xdr:clientData/>
  </xdr:twoCellAnchor>
  <xdr:twoCellAnchor>
    <xdr:from>
      <xdr:col>76</xdr:col>
      <xdr:colOff>457765</xdr:colOff>
      <xdr:row>28</xdr:row>
      <xdr:rowOff>120340</xdr:rowOff>
    </xdr:from>
    <xdr:to>
      <xdr:col>79</xdr:col>
      <xdr:colOff>509723</xdr:colOff>
      <xdr:row>32</xdr:row>
      <xdr:rowOff>63506</xdr:rowOff>
    </xdr:to>
    <xdr:sp macro="" textlink="">
      <xdr:nvSpPr>
        <xdr:cNvPr id="189" name="Right Arrow 9">
          <a:extLst>
            <a:ext uri="{FF2B5EF4-FFF2-40B4-BE49-F238E27FC236}">
              <a16:creationId xmlns:a16="http://schemas.microsoft.com/office/drawing/2014/main" id="{050BD08C-E8EF-4B7A-BBA4-46D6461EF189}"/>
            </a:ext>
          </a:extLst>
        </xdr:cNvPr>
        <xdr:cNvSpPr/>
      </xdr:nvSpPr>
      <xdr:spPr>
        <a:xfrm rot="20829725">
          <a:off x="47396965" y="9572315"/>
          <a:ext cx="1877583" cy="705166"/>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80</xdr:col>
      <xdr:colOff>268605</xdr:colOff>
      <xdr:row>31</xdr:row>
      <xdr:rowOff>85724</xdr:rowOff>
    </xdr:from>
    <xdr:to>
      <xdr:col>81</xdr:col>
      <xdr:colOff>152478</xdr:colOff>
      <xdr:row>37</xdr:row>
      <xdr:rowOff>55439</xdr:rowOff>
    </xdr:to>
    <xdr:sp macro="" textlink="">
      <xdr:nvSpPr>
        <xdr:cNvPr id="190" name="Down Arrow 10">
          <a:extLst>
            <a:ext uri="{FF2B5EF4-FFF2-40B4-BE49-F238E27FC236}">
              <a16:creationId xmlns:a16="http://schemas.microsoft.com/office/drawing/2014/main" id="{480FC73B-C559-4621-BF9B-DD763E13EFE7}"/>
            </a:ext>
          </a:extLst>
        </xdr:cNvPr>
        <xdr:cNvSpPr/>
      </xdr:nvSpPr>
      <xdr:spPr>
        <a:xfrm>
          <a:off x="49646205" y="10109199"/>
          <a:ext cx="493473" cy="1109540"/>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89</xdr:col>
      <xdr:colOff>26671</xdr:colOff>
      <xdr:row>10</xdr:row>
      <xdr:rowOff>38100</xdr:rowOff>
    </xdr:from>
    <xdr:to>
      <xdr:col>89</xdr:col>
      <xdr:colOff>569675</xdr:colOff>
      <xdr:row>14</xdr:row>
      <xdr:rowOff>9524</xdr:rowOff>
    </xdr:to>
    <xdr:sp macro="" textlink="">
      <xdr:nvSpPr>
        <xdr:cNvPr id="191" name="Down Arrow 11">
          <a:extLst>
            <a:ext uri="{FF2B5EF4-FFF2-40B4-BE49-F238E27FC236}">
              <a16:creationId xmlns:a16="http://schemas.microsoft.com/office/drawing/2014/main" id="{8C554C49-91FE-4484-B065-A212D969C1D4}"/>
            </a:ext>
          </a:extLst>
        </xdr:cNvPr>
        <xdr:cNvSpPr/>
      </xdr:nvSpPr>
      <xdr:spPr>
        <a:xfrm rot="10800000">
          <a:off x="54893846" y="6057900"/>
          <a:ext cx="539829" cy="736599"/>
        </a:xfrm>
        <a:prstGeom prst="downArrow">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71</xdr:col>
      <xdr:colOff>402054</xdr:colOff>
      <xdr:row>35</xdr:row>
      <xdr:rowOff>68021</xdr:rowOff>
    </xdr:from>
    <xdr:to>
      <xdr:col>73</xdr:col>
      <xdr:colOff>326157</xdr:colOff>
      <xdr:row>38</xdr:row>
      <xdr:rowOff>87388</xdr:rowOff>
    </xdr:to>
    <xdr:sp macro="" textlink="">
      <xdr:nvSpPr>
        <xdr:cNvPr id="192" name="Right Arrow 12">
          <a:extLst>
            <a:ext uri="{FF2B5EF4-FFF2-40B4-BE49-F238E27FC236}">
              <a16:creationId xmlns:a16="http://schemas.microsoft.com/office/drawing/2014/main" id="{93D36C08-4A45-4ECD-B41F-AEDF4323873B}"/>
            </a:ext>
          </a:extLst>
        </xdr:cNvPr>
        <xdr:cNvSpPr/>
      </xdr:nvSpPr>
      <xdr:spPr>
        <a:xfrm rot="20948562">
          <a:off x="44293254" y="10847146"/>
          <a:ext cx="1143303" cy="590867"/>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86</xdr:col>
      <xdr:colOff>380369</xdr:colOff>
      <xdr:row>13</xdr:row>
      <xdr:rowOff>17146</xdr:rowOff>
    </xdr:from>
    <xdr:to>
      <xdr:col>90</xdr:col>
      <xdr:colOff>140970</xdr:colOff>
      <xdr:row>16</xdr:row>
      <xdr:rowOff>65017</xdr:rowOff>
    </xdr:to>
    <xdr:sp macro="" textlink="">
      <xdr:nvSpPr>
        <xdr:cNvPr id="193" name="Rounded Rectangle 13">
          <a:extLst>
            <a:ext uri="{FF2B5EF4-FFF2-40B4-BE49-F238E27FC236}">
              <a16:creationId xmlns:a16="http://schemas.microsoft.com/office/drawing/2014/main" id="{A73CDA7F-2DF2-4A84-8808-2ADE0F888EF1}"/>
            </a:ext>
          </a:extLst>
        </xdr:cNvPr>
        <xdr:cNvSpPr/>
      </xdr:nvSpPr>
      <xdr:spPr>
        <a:xfrm>
          <a:off x="53415569" y="6608446"/>
          <a:ext cx="2202176" cy="622546"/>
        </a:xfrm>
        <a:prstGeom prst="round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Flue Gas</a:t>
          </a:r>
        </a:p>
      </xdr:txBody>
    </xdr:sp>
    <xdr:clientData/>
  </xdr:twoCellAnchor>
  <xdr:twoCellAnchor>
    <xdr:from>
      <xdr:col>77</xdr:col>
      <xdr:colOff>542607</xdr:colOff>
      <xdr:row>37</xdr:row>
      <xdr:rowOff>55245</xdr:rowOff>
    </xdr:from>
    <xdr:to>
      <xdr:col>81</xdr:col>
      <xdr:colOff>476250</xdr:colOff>
      <xdr:row>40</xdr:row>
      <xdr:rowOff>55245</xdr:rowOff>
    </xdr:to>
    <xdr:sp macro="" textlink="">
      <xdr:nvSpPr>
        <xdr:cNvPr id="194" name="Rounded Rectangle 14">
          <a:extLst>
            <a:ext uri="{FF2B5EF4-FFF2-40B4-BE49-F238E27FC236}">
              <a16:creationId xmlns:a16="http://schemas.microsoft.com/office/drawing/2014/main" id="{51AC21AA-EB59-4197-A539-E70427DE62B1}"/>
            </a:ext>
          </a:extLst>
        </xdr:cNvPr>
        <xdr:cNvSpPr/>
      </xdr:nvSpPr>
      <xdr:spPr>
        <a:xfrm>
          <a:off x="48094582" y="11218545"/>
          <a:ext cx="2368868" cy="571500"/>
        </a:xfrm>
        <a:prstGeom prst="round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Blow Down</a:t>
          </a:r>
        </a:p>
      </xdr:txBody>
    </xdr:sp>
    <xdr:clientData/>
  </xdr:twoCellAnchor>
  <xdr:twoCellAnchor>
    <xdr:from>
      <xdr:col>90</xdr:col>
      <xdr:colOff>160020</xdr:colOff>
      <xdr:row>18</xdr:row>
      <xdr:rowOff>114300</xdr:rowOff>
    </xdr:from>
    <xdr:to>
      <xdr:col>94</xdr:col>
      <xdr:colOff>171450</xdr:colOff>
      <xdr:row>27</xdr:row>
      <xdr:rowOff>114301</xdr:rowOff>
    </xdr:to>
    <xdr:sp macro="" textlink="">
      <xdr:nvSpPr>
        <xdr:cNvPr id="195" name="Rounded Rectangle 15">
          <a:extLst>
            <a:ext uri="{FF2B5EF4-FFF2-40B4-BE49-F238E27FC236}">
              <a16:creationId xmlns:a16="http://schemas.microsoft.com/office/drawing/2014/main" id="{76B18D3C-A7FB-4945-A5BB-C108273E3874}"/>
            </a:ext>
          </a:extLst>
        </xdr:cNvPr>
        <xdr:cNvSpPr/>
      </xdr:nvSpPr>
      <xdr:spPr>
        <a:xfrm>
          <a:off x="55636795" y="7658100"/>
          <a:ext cx="2446655" cy="1714501"/>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Feed Water Pumps</a:t>
          </a:r>
        </a:p>
      </xdr:txBody>
    </xdr:sp>
    <xdr:clientData/>
  </xdr:twoCellAnchor>
  <xdr:twoCellAnchor>
    <xdr:from>
      <xdr:col>94</xdr:col>
      <xdr:colOff>171451</xdr:colOff>
      <xdr:row>23</xdr:row>
      <xdr:rowOff>19051</xdr:rowOff>
    </xdr:from>
    <xdr:to>
      <xdr:col>95</xdr:col>
      <xdr:colOff>285752</xdr:colOff>
      <xdr:row>38</xdr:row>
      <xdr:rowOff>76201</xdr:rowOff>
    </xdr:to>
    <xdr:cxnSp macro="">
      <xdr:nvCxnSpPr>
        <xdr:cNvPr id="196" name="Elbow Connector 16">
          <a:extLst>
            <a:ext uri="{FF2B5EF4-FFF2-40B4-BE49-F238E27FC236}">
              <a16:creationId xmlns:a16="http://schemas.microsoft.com/office/drawing/2014/main" id="{7C06228D-478C-4495-BB5D-E7F6BEEDF53A}"/>
            </a:ext>
          </a:extLst>
        </xdr:cNvPr>
        <xdr:cNvCxnSpPr>
          <a:stCxn id="214" idx="2"/>
          <a:endCxn id="195" idx="3"/>
        </xdr:cNvCxnSpPr>
      </xdr:nvCxnSpPr>
      <xdr:spPr>
        <a:xfrm rot="10800000">
          <a:off x="58083451" y="8515351"/>
          <a:ext cx="723901" cy="2914650"/>
        </a:xfrm>
        <a:prstGeom prst="bentConnector3">
          <a:avLst>
            <a:gd name="adj1" fmla="val 50000"/>
          </a:avLst>
        </a:prstGeom>
        <a:noFill/>
        <a:ln w="76200" cap="flat" cmpd="sng" algn="ctr">
          <a:solidFill>
            <a:srgbClr val="6699FF"/>
          </a:solidFill>
          <a:prstDash val="solid"/>
          <a:tailEnd type="triangle"/>
        </a:ln>
        <a:effectLst/>
      </xdr:spPr>
    </xdr:cxnSp>
    <xdr:clientData/>
  </xdr:twoCellAnchor>
  <xdr:twoCellAnchor>
    <xdr:from>
      <xdr:col>79</xdr:col>
      <xdr:colOff>464819</xdr:colOff>
      <xdr:row>19</xdr:row>
      <xdr:rowOff>9524</xdr:rowOff>
    </xdr:from>
    <xdr:to>
      <xdr:col>89</xdr:col>
      <xdr:colOff>57150</xdr:colOff>
      <xdr:row>34</xdr:row>
      <xdr:rowOff>123824</xdr:rowOff>
    </xdr:to>
    <xdr:sp macro="" textlink="">
      <xdr:nvSpPr>
        <xdr:cNvPr id="197" name="Rounded Rectangle 17">
          <a:extLst>
            <a:ext uri="{FF2B5EF4-FFF2-40B4-BE49-F238E27FC236}">
              <a16:creationId xmlns:a16="http://schemas.microsoft.com/office/drawing/2014/main" id="{448D6ABF-04E0-4487-9F0A-3F2BAC8CC9E9}"/>
            </a:ext>
          </a:extLst>
        </xdr:cNvPr>
        <xdr:cNvSpPr/>
      </xdr:nvSpPr>
      <xdr:spPr>
        <a:xfrm>
          <a:off x="49235994" y="7746999"/>
          <a:ext cx="5685156" cy="2971800"/>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 </a:t>
          </a:r>
          <a:r>
            <a:rPr lang="en-US" sz="4000" b="1" u="sng">
              <a:solidFill>
                <a:sysClr val="windowText" lastClr="000000"/>
              </a:solidFill>
            </a:rPr>
            <a:t>BOILERS:</a:t>
          </a:r>
        </a:p>
        <a:p>
          <a:pPr algn="ctr"/>
          <a:r>
            <a:rPr lang="en-US" sz="3200" b="1">
              <a:solidFill>
                <a:sysClr val="windowText" lastClr="000000"/>
              </a:solidFill>
            </a:rPr>
            <a:t>Building</a:t>
          </a:r>
          <a:r>
            <a:rPr lang="en-US" sz="3200" b="1" baseline="0">
              <a:solidFill>
                <a:sysClr val="windowText" lastClr="000000"/>
              </a:solidFill>
            </a:rPr>
            <a:t> Heating</a:t>
          </a:r>
        </a:p>
        <a:p>
          <a:pPr algn="ctr"/>
          <a:r>
            <a:rPr lang="en-US" sz="3200" b="1" baseline="0">
              <a:solidFill>
                <a:sysClr val="windowText" lastClr="000000"/>
              </a:solidFill>
            </a:rPr>
            <a:t>Process Heating</a:t>
          </a:r>
        </a:p>
        <a:p>
          <a:pPr algn="ctr"/>
          <a:r>
            <a:rPr lang="en-US" sz="3200" b="1" baseline="0">
              <a:solidFill>
                <a:sysClr val="windowText" lastClr="000000"/>
              </a:solidFill>
            </a:rPr>
            <a:t>Test Lab Chiller Loading</a:t>
          </a:r>
          <a:endParaRPr lang="en-US" sz="3200" b="1">
            <a:solidFill>
              <a:sysClr val="windowText" lastClr="000000"/>
            </a:solidFill>
          </a:endParaRPr>
        </a:p>
      </xdr:txBody>
    </xdr:sp>
    <xdr:clientData/>
  </xdr:twoCellAnchor>
  <xdr:twoCellAnchor>
    <xdr:from>
      <xdr:col>69</xdr:col>
      <xdr:colOff>229553</xdr:colOff>
      <xdr:row>35</xdr:row>
      <xdr:rowOff>140969</xdr:rowOff>
    </xdr:from>
    <xdr:to>
      <xdr:col>72</xdr:col>
      <xdr:colOff>334327</xdr:colOff>
      <xdr:row>39</xdr:row>
      <xdr:rowOff>160973</xdr:rowOff>
    </xdr:to>
    <xdr:sp macro="" textlink="">
      <xdr:nvSpPr>
        <xdr:cNvPr id="198" name="Rounded Rectangle 18">
          <a:extLst>
            <a:ext uri="{FF2B5EF4-FFF2-40B4-BE49-F238E27FC236}">
              <a16:creationId xmlns:a16="http://schemas.microsoft.com/office/drawing/2014/main" id="{DF0D65AD-8255-49A3-9782-91422DAC19AC}"/>
            </a:ext>
          </a:extLst>
        </xdr:cNvPr>
        <xdr:cNvSpPr/>
      </xdr:nvSpPr>
      <xdr:spPr>
        <a:xfrm>
          <a:off x="42901553" y="10926444"/>
          <a:ext cx="1930399" cy="782004"/>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Natural Gas</a:t>
          </a:r>
        </a:p>
      </xdr:txBody>
    </xdr:sp>
    <xdr:clientData/>
  </xdr:twoCellAnchor>
  <xdr:twoCellAnchor>
    <xdr:from>
      <xdr:col>96</xdr:col>
      <xdr:colOff>86677</xdr:colOff>
      <xdr:row>17</xdr:row>
      <xdr:rowOff>-1</xdr:rowOff>
    </xdr:from>
    <xdr:to>
      <xdr:col>99</xdr:col>
      <xdr:colOff>504825</xdr:colOff>
      <xdr:row>23</xdr:row>
      <xdr:rowOff>125726</xdr:rowOff>
    </xdr:to>
    <xdr:sp macro="" textlink="">
      <xdr:nvSpPr>
        <xdr:cNvPr id="199" name="Rounded Rectangle 20">
          <a:extLst>
            <a:ext uri="{FF2B5EF4-FFF2-40B4-BE49-F238E27FC236}">
              <a16:creationId xmlns:a16="http://schemas.microsoft.com/office/drawing/2014/main" id="{16A6BDA5-406B-4CC2-826F-C664BA9F5007}"/>
            </a:ext>
          </a:extLst>
        </xdr:cNvPr>
        <xdr:cNvSpPr/>
      </xdr:nvSpPr>
      <xdr:spPr>
        <a:xfrm>
          <a:off x="59214702" y="7353299"/>
          <a:ext cx="2246948" cy="1265552"/>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City</a:t>
          </a:r>
          <a:r>
            <a:rPr lang="en-US" sz="2800" b="1" baseline="0">
              <a:solidFill>
                <a:sysClr val="windowText" lastClr="000000"/>
              </a:solidFill>
            </a:rPr>
            <a:t> </a:t>
          </a:r>
          <a:r>
            <a:rPr lang="en-US" sz="2800" b="1">
              <a:solidFill>
                <a:sysClr val="windowText" lastClr="000000"/>
              </a:solidFill>
            </a:rPr>
            <a:t>Water - Makeup</a:t>
          </a:r>
        </a:p>
      </xdr:txBody>
    </xdr:sp>
    <xdr:clientData/>
  </xdr:twoCellAnchor>
  <xdr:twoCellAnchor>
    <xdr:from>
      <xdr:col>81</xdr:col>
      <xdr:colOff>366713</xdr:colOff>
      <xdr:row>34</xdr:row>
      <xdr:rowOff>123824</xdr:rowOff>
    </xdr:from>
    <xdr:to>
      <xdr:col>84</xdr:col>
      <xdr:colOff>260986</xdr:colOff>
      <xdr:row>67</xdr:row>
      <xdr:rowOff>95249</xdr:rowOff>
    </xdr:to>
    <xdr:cxnSp macro="">
      <xdr:nvCxnSpPr>
        <xdr:cNvPr id="200" name="Elbow Connector 21">
          <a:extLst>
            <a:ext uri="{FF2B5EF4-FFF2-40B4-BE49-F238E27FC236}">
              <a16:creationId xmlns:a16="http://schemas.microsoft.com/office/drawing/2014/main" id="{816538F0-46BE-4001-8E0C-5423C8B5C42B}"/>
            </a:ext>
          </a:extLst>
        </xdr:cNvPr>
        <xdr:cNvCxnSpPr>
          <a:cxnSpLocks/>
          <a:stCxn id="197" idx="2"/>
          <a:endCxn id="213" idx="0"/>
        </xdr:cNvCxnSpPr>
      </xdr:nvCxnSpPr>
      <xdr:spPr>
        <a:xfrm rot="5400000">
          <a:off x="48088075" y="12987812"/>
          <a:ext cx="6254750" cy="1716723"/>
        </a:xfrm>
        <a:prstGeom prst="bentConnector3">
          <a:avLst>
            <a:gd name="adj1" fmla="val 50000"/>
          </a:avLst>
        </a:prstGeom>
        <a:noFill/>
        <a:ln w="152400" cap="flat" cmpd="sng" algn="ctr">
          <a:solidFill>
            <a:srgbClr val="FF0000"/>
          </a:solidFill>
          <a:prstDash val="solid"/>
          <a:tailEnd type="triangle"/>
        </a:ln>
        <a:effectLst/>
      </xdr:spPr>
    </xdr:cxnSp>
    <xdr:clientData/>
  </xdr:twoCellAnchor>
  <xdr:twoCellAnchor>
    <xdr:from>
      <xdr:col>77</xdr:col>
      <xdr:colOff>392430</xdr:colOff>
      <xdr:row>102</xdr:row>
      <xdr:rowOff>65723</xdr:rowOff>
    </xdr:from>
    <xdr:to>
      <xdr:col>88</xdr:col>
      <xdr:colOff>550548</xdr:colOff>
      <xdr:row>108</xdr:row>
      <xdr:rowOff>169861</xdr:rowOff>
    </xdr:to>
    <xdr:sp macro="" textlink="">
      <xdr:nvSpPr>
        <xdr:cNvPr id="201" name="Rounded Rectangle 23">
          <a:extLst>
            <a:ext uri="{FF2B5EF4-FFF2-40B4-BE49-F238E27FC236}">
              <a16:creationId xmlns:a16="http://schemas.microsoft.com/office/drawing/2014/main" id="{1160B6A5-51A0-4322-BECC-ADBA4DC55069}"/>
            </a:ext>
          </a:extLst>
        </xdr:cNvPr>
        <xdr:cNvSpPr/>
      </xdr:nvSpPr>
      <xdr:spPr>
        <a:xfrm>
          <a:off x="47938055" y="23614698"/>
          <a:ext cx="6866893" cy="1196338"/>
        </a:xfrm>
        <a:prstGeom prst="roundRect">
          <a:avLst/>
        </a:prstGeom>
        <a:solidFill>
          <a:srgbClr val="E6B9B8"/>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4800" b="1">
              <a:solidFill>
                <a:sysClr val="windowText" lastClr="000000"/>
              </a:solidFill>
            </a:rPr>
            <a:t>Boilers and Hot Water</a:t>
          </a:r>
        </a:p>
      </xdr:txBody>
    </xdr:sp>
    <xdr:clientData/>
  </xdr:twoCellAnchor>
  <xdr:twoCellAnchor>
    <xdr:from>
      <xdr:col>73</xdr:col>
      <xdr:colOff>85247</xdr:colOff>
      <xdr:row>25</xdr:row>
      <xdr:rowOff>133827</xdr:rowOff>
    </xdr:from>
    <xdr:to>
      <xdr:col>74</xdr:col>
      <xdr:colOff>144619</xdr:colOff>
      <xdr:row>30</xdr:row>
      <xdr:rowOff>19709</xdr:rowOff>
    </xdr:to>
    <xdr:sp macro="" textlink="">
      <xdr:nvSpPr>
        <xdr:cNvPr id="202" name="Right Arrow 24">
          <a:extLst>
            <a:ext uri="{FF2B5EF4-FFF2-40B4-BE49-F238E27FC236}">
              <a16:creationId xmlns:a16="http://schemas.microsoft.com/office/drawing/2014/main" id="{4B318D46-6F6E-45E7-854F-999B39EF1F43}"/>
            </a:ext>
          </a:extLst>
        </xdr:cNvPr>
        <xdr:cNvSpPr/>
      </xdr:nvSpPr>
      <xdr:spPr>
        <a:xfrm rot="4990070">
          <a:off x="45110942" y="9099007"/>
          <a:ext cx="838382" cy="662622"/>
        </a:xfrm>
        <a:prstGeom prst="rightArrow">
          <a:avLst/>
        </a:prstGeom>
        <a:solidFill>
          <a:srgbClr val="FFDB6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72</xdr:col>
      <xdr:colOff>224758</xdr:colOff>
      <xdr:row>13</xdr:row>
      <xdr:rowOff>85729</xdr:rowOff>
    </xdr:from>
    <xdr:to>
      <xdr:col>73</xdr:col>
      <xdr:colOff>180973</xdr:colOff>
      <xdr:row>19</xdr:row>
      <xdr:rowOff>70493</xdr:rowOff>
    </xdr:to>
    <xdr:sp macro="" textlink="">
      <xdr:nvSpPr>
        <xdr:cNvPr id="203" name="Right Arrow 25">
          <a:extLst>
            <a:ext uri="{FF2B5EF4-FFF2-40B4-BE49-F238E27FC236}">
              <a16:creationId xmlns:a16="http://schemas.microsoft.com/office/drawing/2014/main" id="{D9B6E50D-72C9-4DC8-9149-914F9FAB6321}"/>
            </a:ext>
          </a:extLst>
        </xdr:cNvPr>
        <xdr:cNvSpPr/>
      </xdr:nvSpPr>
      <xdr:spPr>
        <a:xfrm rot="5400000">
          <a:off x="44444584" y="6951653"/>
          <a:ext cx="1127764" cy="572165"/>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v</a:t>
          </a:r>
        </a:p>
      </xdr:txBody>
    </xdr:sp>
    <xdr:clientData/>
  </xdr:twoCellAnchor>
  <xdr:twoCellAnchor>
    <xdr:from>
      <xdr:col>71</xdr:col>
      <xdr:colOff>590550</xdr:colOff>
      <xdr:row>12</xdr:row>
      <xdr:rowOff>130493</xdr:rowOff>
    </xdr:from>
    <xdr:to>
      <xdr:col>75</xdr:col>
      <xdr:colOff>161616</xdr:colOff>
      <xdr:row>16</xdr:row>
      <xdr:rowOff>26673</xdr:rowOff>
    </xdr:to>
    <xdr:sp macro="" textlink="">
      <xdr:nvSpPr>
        <xdr:cNvPr id="204" name="Rounded Rectangle 26">
          <a:extLst>
            <a:ext uri="{FF2B5EF4-FFF2-40B4-BE49-F238E27FC236}">
              <a16:creationId xmlns:a16="http://schemas.microsoft.com/office/drawing/2014/main" id="{E4979E94-720A-4D6C-B0EF-866DA5C984C8}"/>
            </a:ext>
          </a:extLst>
        </xdr:cNvPr>
        <xdr:cNvSpPr/>
      </xdr:nvSpPr>
      <xdr:spPr>
        <a:xfrm>
          <a:off x="44481750" y="6531293"/>
          <a:ext cx="2012641" cy="66135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68</xdr:col>
      <xdr:colOff>180975</xdr:colOff>
      <xdr:row>19</xdr:row>
      <xdr:rowOff>104774</xdr:rowOff>
    </xdr:from>
    <xdr:to>
      <xdr:col>74</xdr:col>
      <xdr:colOff>95250</xdr:colOff>
      <xdr:row>26</xdr:row>
      <xdr:rowOff>57151</xdr:rowOff>
    </xdr:to>
    <xdr:sp macro="" textlink="">
      <xdr:nvSpPr>
        <xdr:cNvPr id="205" name="Rounded Rectangle 27">
          <a:extLst>
            <a:ext uri="{FF2B5EF4-FFF2-40B4-BE49-F238E27FC236}">
              <a16:creationId xmlns:a16="http://schemas.microsoft.com/office/drawing/2014/main" id="{8B759099-0861-4098-86AB-8A68F852A332}"/>
            </a:ext>
          </a:extLst>
        </xdr:cNvPr>
        <xdr:cNvSpPr/>
      </xdr:nvSpPr>
      <xdr:spPr>
        <a:xfrm>
          <a:off x="42240200" y="7842249"/>
          <a:ext cx="3575050" cy="1282702"/>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Combustion Air Supply Fan Motors</a:t>
          </a:r>
        </a:p>
      </xdr:txBody>
    </xdr:sp>
    <xdr:clientData/>
  </xdr:twoCellAnchor>
  <xdr:twoCellAnchor>
    <xdr:from>
      <xdr:col>73</xdr:col>
      <xdr:colOff>293370</xdr:colOff>
      <xdr:row>29</xdr:row>
      <xdr:rowOff>188596</xdr:rowOff>
    </xdr:from>
    <xdr:to>
      <xdr:col>77</xdr:col>
      <xdr:colOff>171450</xdr:colOff>
      <xdr:row>37</xdr:row>
      <xdr:rowOff>9524</xdr:rowOff>
    </xdr:to>
    <xdr:sp macro="" textlink="">
      <xdr:nvSpPr>
        <xdr:cNvPr id="206" name="Rounded Rectangle 29">
          <a:extLst>
            <a:ext uri="{FF2B5EF4-FFF2-40B4-BE49-F238E27FC236}">
              <a16:creationId xmlns:a16="http://schemas.microsoft.com/office/drawing/2014/main" id="{EC320747-1E60-427A-A1D1-E5D7B176C737}"/>
            </a:ext>
          </a:extLst>
        </xdr:cNvPr>
        <xdr:cNvSpPr/>
      </xdr:nvSpPr>
      <xdr:spPr>
        <a:xfrm>
          <a:off x="45406945" y="9827896"/>
          <a:ext cx="2313305" cy="1348103"/>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Combustion Burners</a:t>
          </a:r>
        </a:p>
      </xdr:txBody>
    </xdr:sp>
    <xdr:clientData/>
  </xdr:twoCellAnchor>
  <xdr:twoCellAnchor>
    <xdr:from>
      <xdr:col>89</xdr:col>
      <xdr:colOff>57150</xdr:colOff>
      <xdr:row>23</xdr:row>
      <xdr:rowOff>19050</xdr:rowOff>
    </xdr:from>
    <xdr:to>
      <xdr:col>90</xdr:col>
      <xdr:colOff>160020</xdr:colOff>
      <xdr:row>26</xdr:row>
      <xdr:rowOff>161923</xdr:rowOff>
    </xdr:to>
    <xdr:cxnSp macro="">
      <xdr:nvCxnSpPr>
        <xdr:cNvPr id="207" name="Elbow Connector 30">
          <a:extLst>
            <a:ext uri="{FF2B5EF4-FFF2-40B4-BE49-F238E27FC236}">
              <a16:creationId xmlns:a16="http://schemas.microsoft.com/office/drawing/2014/main" id="{E1D211AF-98A5-4D1B-BCD8-7763731457DE}"/>
            </a:ext>
          </a:extLst>
        </xdr:cNvPr>
        <xdr:cNvCxnSpPr>
          <a:stCxn id="195" idx="1"/>
          <a:endCxn id="197" idx="3"/>
        </xdr:cNvCxnSpPr>
      </xdr:nvCxnSpPr>
      <xdr:spPr>
        <a:xfrm rot="10800000" flipV="1">
          <a:off x="54921150" y="8515350"/>
          <a:ext cx="715645" cy="717548"/>
        </a:xfrm>
        <a:prstGeom prst="bentConnector3">
          <a:avLst>
            <a:gd name="adj1" fmla="val 50000"/>
          </a:avLst>
        </a:prstGeom>
        <a:noFill/>
        <a:ln w="76200" cap="flat" cmpd="sng" algn="ctr">
          <a:solidFill>
            <a:srgbClr val="6699FF"/>
          </a:solidFill>
          <a:prstDash val="solid"/>
          <a:tailEnd type="triangle"/>
        </a:ln>
        <a:effectLst/>
      </xdr:spPr>
    </xdr:cxnSp>
    <xdr:clientData/>
  </xdr:twoCellAnchor>
  <xdr:twoCellAnchor>
    <xdr:from>
      <xdr:col>94</xdr:col>
      <xdr:colOff>377388</xdr:colOff>
      <xdr:row>8</xdr:row>
      <xdr:rowOff>262549</xdr:rowOff>
    </xdr:from>
    <xdr:to>
      <xdr:col>96</xdr:col>
      <xdr:colOff>337820</xdr:colOff>
      <xdr:row>8</xdr:row>
      <xdr:rowOff>267677</xdr:rowOff>
    </xdr:to>
    <xdr:cxnSp macro="">
      <xdr:nvCxnSpPr>
        <xdr:cNvPr id="208" name="Straight Arrow Connector 207">
          <a:extLst>
            <a:ext uri="{FF2B5EF4-FFF2-40B4-BE49-F238E27FC236}">
              <a16:creationId xmlns:a16="http://schemas.microsoft.com/office/drawing/2014/main" id="{692CF889-EEFB-4316-B558-1DB97ADC22C7}"/>
            </a:ext>
          </a:extLst>
        </xdr:cNvPr>
        <xdr:cNvCxnSpPr/>
      </xdr:nvCxnSpPr>
      <xdr:spPr>
        <a:xfrm flipH="1">
          <a:off x="58286213" y="5193324"/>
          <a:ext cx="1179632" cy="8303"/>
        </a:xfrm>
        <a:prstGeom prst="straightConnector1">
          <a:avLst/>
        </a:prstGeom>
        <a:noFill/>
        <a:ln w="76200" cap="flat" cmpd="sng" algn="ctr">
          <a:solidFill>
            <a:srgbClr val="0000FF"/>
          </a:solidFill>
          <a:prstDash val="solid"/>
          <a:tailEnd type="triangle"/>
        </a:ln>
        <a:effectLst/>
      </xdr:spPr>
    </xdr:cxnSp>
    <xdr:clientData/>
  </xdr:twoCellAnchor>
  <xdr:twoCellAnchor>
    <xdr:from>
      <xdr:col>84</xdr:col>
      <xdr:colOff>359608</xdr:colOff>
      <xdr:row>8</xdr:row>
      <xdr:rowOff>301625</xdr:rowOff>
    </xdr:from>
    <xdr:to>
      <xdr:col>86</xdr:col>
      <xdr:colOff>320040</xdr:colOff>
      <xdr:row>8</xdr:row>
      <xdr:rowOff>306753</xdr:rowOff>
    </xdr:to>
    <xdr:cxnSp macro="">
      <xdr:nvCxnSpPr>
        <xdr:cNvPr id="209" name="Straight Arrow Connector 208">
          <a:extLst>
            <a:ext uri="{FF2B5EF4-FFF2-40B4-BE49-F238E27FC236}">
              <a16:creationId xmlns:a16="http://schemas.microsoft.com/office/drawing/2014/main" id="{954F789F-2635-4989-87EC-BBB8BBD27847}"/>
            </a:ext>
          </a:extLst>
        </xdr:cNvPr>
        <xdr:cNvCxnSpPr/>
      </xdr:nvCxnSpPr>
      <xdr:spPr>
        <a:xfrm flipH="1">
          <a:off x="52175608" y="5235575"/>
          <a:ext cx="1176457" cy="5128"/>
        </a:xfrm>
        <a:prstGeom prst="straightConnector1">
          <a:avLst/>
        </a:prstGeom>
        <a:noFill/>
        <a:ln w="76200" cap="flat" cmpd="sng" algn="ctr">
          <a:solidFill>
            <a:srgbClr val="FF0000"/>
          </a:solidFill>
          <a:prstDash val="solid"/>
          <a:tailEnd type="triangle"/>
        </a:ln>
        <a:effectLst/>
      </xdr:spPr>
    </xdr:cxnSp>
    <xdr:clientData/>
  </xdr:twoCellAnchor>
  <xdr:twoCellAnchor>
    <xdr:from>
      <xdr:col>80</xdr:col>
      <xdr:colOff>355798</xdr:colOff>
      <xdr:row>8</xdr:row>
      <xdr:rowOff>326390</xdr:rowOff>
    </xdr:from>
    <xdr:to>
      <xdr:col>82</xdr:col>
      <xdr:colOff>316230</xdr:colOff>
      <xdr:row>8</xdr:row>
      <xdr:rowOff>331518</xdr:rowOff>
    </xdr:to>
    <xdr:cxnSp macro="">
      <xdr:nvCxnSpPr>
        <xdr:cNvPr id="210" name="Straight Arrow Connector 209">
          <a:extLst>
            <a:ext uri="{FF2B5EF4-FFF2-40B4-BE49-F238E27FC236}">
              <a16:creationId xmlns:a16="http://schemas.microsoft.com/office/drawing/2014/main" id="{D259A594-C16F-45B0-9E79-D11562A14AAD}"/>
            </a:ext>
          </a:extLst>
        </xdr:cNvPr>
        <xdr:cNvCxnSpPr/>
      </xdr:nvCxnSpPr>
      <xdr:spPr>
        <a:xfrm flipH="1">
          <a:off x="49730223" y="5260340"/>
          <a:ext cx="1179632" cy="8303"/>
        </a:xfrm>
        <a:prstGeom prst="straightConnector1">
          <a:avLst/>
        </a:prstGeom>
        <a:noFill/>
        <a:ln w="76200" cap="flat" cmpd="sng" algn="ctr">
          <a:solidFill>
            <a:srgbClr val="6699FF"/>
          </a:solidFill>
          <a:prstDash val="solid"/>
          <a:tailEnd type="triangle"/>
        </a:ln>
        <a:effectLst/>
      </xdr:spPr>
    </xdr:cxnSp>
    <xdr:clientData/>
  </xdr:twoCellAnchor>
  <xdr:twoCellAnchor>
    <xdr:from>
      <xdr:col>75</xdr:col>
      <xdr:colOff>455522</xdr:colOff>
      <xdr:row>8</xdr:row>
      <xdr:rowOff>114924</xdr:rowOff>
    </xdr:from>
    <xdr:to>
      <xdr:col>77</xdr:col>
      <xdr:colOff>552449</xdr:colOff>
      <xdr:row>8</xdr:row>
      <xdr:rowOff>552449</xdr:rowOff>
    </xdr:to>
    <xdr:sp macro="" textlink="">
      <xdr:nvSpPr>
        <xdr:cNvPr id="211" name="Right Arrow 35">
          <a:extLst>
            <a:ext uri="{FF2B5EF4-FFF2-40B4-BE49-F238E27FC236}">
              <a16:creationId xmlns:a16="http://schemas.microsoft.com/office/drawing/2014/main" id="{5E568C9E-66AD-40A5-88ED-C3A9F935C28D}"/>
            </a:ext>
          </a:extLst>
        </xdr:cNvPr>
        <xdr:cNvSpPr/>
      </xdr:nvSpPr>
      <xdr:spPr>
        <a:xfrm rot="10800000">
          <a:off x="46785122" y="5048874"/>
          <a:ext cx="1316127" cy="437525"/>
        </a:xfrm>
        <a:prstGeom prst="rightArrow">
          <a:avLst>
            <a:gd name="adj1" fmla="val 36885"/>
            <a:gd name="adj2" fmla="val 45628"/>
          </a:avLst>
        </a:prstGeom>
        <a:solidFill>
          <a:srgbClr val="00B0F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89</xdr:col>
      <xdr:colOff>264041</xdr:colOff>
      <xdr:row>8</xdr:row>
      <xdr:rowOff>342899</xdr:rowOff>
    </xdr:from>
    <xdr:to>
      <xdr:col>91</xdr:col>
      <xdr:colOff>438149</xdr:colOff>
      <xdr:row>8</xdr:row>
      <xdr:rowOff>364831</xdr:rowOff>
    </xdr:to>
    <xdr:cxnSp macro="">
      <xdr:nvCxnSpPr>
        <xdr:cNvPr id="212" name="Straight Arrow Connector 211">
          <a:extLst>
            <a:ext uri="{FF2B5EF4-FFF2-40B4-BE49-F238E27FC236}">
              <a16:creationId xmlns:a16="http://schemas.microsoft.com/office/drawing/2014/main" id="{77FB066F-0643-4BBC-AE0D-0E513251560A}"/>
            </a:ext>
          </a:extLst>
        </xdr:cNvPr>
        <xdr:cNvCxnSpPr/>
      </xdr:nvCxnSpPr>
      <xdr:spPr>
        <a:xfrm flipH="1">
          <a:off x="55128041" y="5276849"/>
          <a:ext cx="1393308" cy="21932"/>
        </a:xfrm>
        <a:prstGeom prst="straightConnector1">
          <a:avLst/>
        </a:prstGeom>
        <a:noFill/>
        <a:ln w="76200" cap="flat" cmpd="sng" algn="ctr">
          <a:solidFill>
            <a:srgbClr val="FF99CC"/>
          </a:solidFill>
          <a:prstDash val="solid"/>
          <a:tailEnd type="triangle"/>
        </a:ln>
        <a:effectLst/>
      </xdr:spPr>
    </xdr:cxnSp>
    <xdr:clientData/>
  </xdr:twoCellAnchor>
  <xdr:twoCellAnchor>
    <xdr:from>
      <xdr:col>79</xdr:col>
      <xdr:colOff>85725</xdr:colOff>
      <xdr:row>67</xdr:row>
      <xdr:rowOff>95249</xdr:rowOff>
    </xdr:from>
    <xdr:to>
      <xdr:col>84</xdr:col>
      <xdr:colOff>-1</xdr:colOff>
      <xdr:row>77</xdr:row>
      <xdr:rowOff>152399</xdr:rowOff>
    </xdr:to>
    <xdr:sp macro="" textlink="">
      <xdr:nvSpPr>
        <xdr:cNvPr id="213" name="Rounded Rectangle 37">
          <a:extLst>
            <a:ext uri="{FF2B5EF4-FFF2-40B4-BE49-F238E27FC236}">
              <a16:creationId xmlns:a16="http://schemas.microsoft.com/office/drawing/2014/main" id="{1F29DF44-A74A-421F-AB4D-83E70E679BC0}"/>
            </a:ext>
          </a:extLst>
        </xdr:cNvPr>
        <xdr:cNvSpPr/>
      </xdr:nvSpPr>
      <xdr:spPr>
        <a:xfrm>
          <a:off x="48850550" y="16973549"/>
          <a:ext cx="2965449" cy="1962150"/>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Stea</a:t>
          </a:r>
          <a:r>
            <a:rPr lang="en-US" sz="3200" b="1" baseline="0">
              <a:solidFill>
                <a:sysClr val="windowText" lastClr="000000"/>
              </a:solidFill>
            </a:rPr>
            <a:t>m Hot Water Heaters</a:t>
          </a:r>
          <a:endParaRPr lang="en-US" sz="3200" b="1">
            <a:solidFill>
              <a:sysClr val="windowText" lastClr="000000"/>
            </a:solidFill>
          </a:endParaRPr>
        </a:p>
      </xdr:txBody>
    </xdr:sp>
    <xdr:clientData/>
  </xdr:twoCellAnchor>
  <xdr:twoCellAnchor>
    <xdr:from>
      <xdr:col>95</xdr:col>
      <xdr:colOff>285751</xdr:colOff>
      <xdr:row>32</xdr:row>
      <xdr:rowOff>142876</xdr:rowOff>
    </xdr:from>
    <xdr:to>
      <xdr:col>97</xdr:col>
      <xdr:colOff>371474</xdr:colOff>
      <xdr:row>44</xdr:row>
      <xdr:rowOff>9525</xdr:rowOff>
    </xdr:to>
    <xdr:sp macro="" textlink="">
      <xdr:nvSpPr>
        <xdr:cNvPr id="214" name="Can 38">
          <a:extLst>
            <a:ext uri="{FF2B5EF4-FFF2-40B4-BE49-F238E27FC236}">
              <a16:creationId xmlns:a16="http://schemas.microsoft.com/office/drawing/2014/main" id="{1D74F985-8528-4A50-9544-8903B0322749}"/>
            </a:ext>
          </a:extLst>
        </xdr:cNvPr>
        <xdr:cNvSpPr/>
      </xdr:nvSpPr>
      <xdr:spPr>
        <a:xfrm>
          <a:off x="58807351" y="10350501"/>
          <a:ext cx="1308098" cy="2152649"/>
        </a:xfrm>
        <a:prstGeom prst="can">
          <a:avLst/>
        </a:prstGeom>
        <a:solidFill>
          <a:srgbClr val="66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Feed Water Tank</a:t>
          </a:r>
        </a:p>
      </xdr:txBody>
    </xdr:sp>
    <xdr:clientData/>
  </xdr:twoCellAnchor>
  <xdr:twoCellAnchor>
    <xdr:from>
      <xdr:col>74</xdr:col>
      <xdr:colOff>153017</xdr:colOff>
      <xdr:row>23</xdr:row>
      <xdr:rowOff>75197</xdr:rowOff>
    </xdr:from>
    <xdr:to>
      <xdr:col>74</xdr:col>
      <xdr:colOff>610471</xdr:colOff>
      <xdr:row>29</xdr:row>
      <xdr:rowOff>151852</xdr:rowOff>
    </xdr:to>
    <xdr:sp macro="" textlink="">
      <xdr:nvSpPr>
        <xdr:cNvPr id="215" name="Right Arrow 40">
          <a:extLst>
            <a:ext uri="{FF2B5EF4-FFF2-40B4-BE49-F238E27FC236}">
              <a16:creationId xmlns:a16="http://schemas.microsoft.com/office/drawing/2014/main" id="{77268192-B8B4-4058-A986-35DB1D00F81B}"/>
            </a:ext>
          </a:extLst>
        </xdr:cNvPr>
        <xdr:cNvSpPr/>
      </xdr:nvSpPr>
      <xdr:spPr>
        <a:xfrm rot="4784062">
          <a:off x="45491916" y="8952598"/>
          <a:ext cx="1219655" cy="457454"/>
        </a:xfrm>
        <a:prstGeom prst="rightArrow">
          <a:avLst>
            <a:gd name="adj1" fmla="val 36885"/>
            <a:gd name="adj2" fmla="val 45628"/>
          </a:avLst>
        </a:prstGeom>
        <a:solidFill>
          <a:srgbClr val="00B0F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87</xdr:col>
      <xdr:colOff>333374</xdr:colOff>
      <xdr:row>52</xdr:row>
      <xdr:rowOff>104775</xdr:rowOff>
    </xdr:from>
    <xdr:to>
      <xdr:col>92</xdr:col>
      <xdr:colOff>476248</xdr:colOff>
      <xdr:row>59</xdr:row>
      <xdr:rowOff>9525</xdr:rowOff>
    </xdr:to>
    <xdr:sp macro="" textlink="">
      <xdr:nvSpPr>
        <xdr:cNvPr id="216" name="Rounded Rectangle 41">
          <a:extLst>
            <a:ext uri="{FF2B5EF4-FFF2-40B4-BE49-F238E27FC236}">
              <a16:creationId xmlns:a16="http://schemas.microsoft.com/office/drawing/2014/main" id="{724A2898-0E5C-4FC8-BCB3-B175B6D83BD3}"/>
            </a:ext>
          </a:extLst>
        </xdr:cNvPr>
        <xdr:cNvSpPr/>
      </xdr:nvSpPr>
      <xdr:spPr>
        <a:xfrm>
          <a:off x="53981349" y="14122400"/>
          <a:ext cx="3187699" cy="1238250"/>
        </a:xfrm>
        <a:prstGeom prst="roundRect">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ysClr val="windowText" lastClr="000000"/>
              </a:solidFill>
            </a:rPr>
            <a:t>Deaerating Feed Tank</a:t>
          </a:r>
        </a:p>
      </xdr:txBody>
    </xdr:sp>
    <xdr:clientData/>
  </xdr:twoCellAnchor>
  <xdr:twoCellAnchor>
    <xdr:from>
      <xdr:col>92</xdr:col>
      <xdr:colOff>476248</xdr:colOff>
      <xdr:row>38</xdr:row>
      <xdr:rowOff>76201</xdr:rowOff>
    </xdr:from>
    <xdr:to>
      <xdr:col>97</xdr:col>
      <xdr:colOff>371474</xdr:colOff>
      <xdr:row>55</xdr:row>
      <xdr:rowOff>152400</xdr:rowOff>
    </xdr:to>
    <xdr:cxnSp macro="">
      <xdr:nvCxnSpPr>
        <xdr:cNvPr id="217" name="Elbow Connector 43">
          <a:extLst>
            <a:ext uri="{FF2B5EF4-FFF2-40B4-BE49-F238E27FC236}">
              <a16:creationId xmlns:a16="http://schemas.microsoft.com/office/drawing/2014/main" id="{34DEDC57-DD53-49FD-9ACB-BC2C571DB710}"/>
            </a:ext>
          </a:extLst>
        </xdr:cNvPr>
        <xdr:cNvCxnSpPr>
          <a:stCxn id="216" idx="3"/>
          <a:endCxn id="214" idx="4"/>
        </xdr:cNvCxnSpPr>
      </xdr:nvCxnSpPr>
      <xdr:spPr>
        <a:xfrm flipV="1">
          <a:off x="57169048" y="11430001"/>
          <a:ext cx="2946401" cy="3314699"/>
        </a:xfrm>
        <a:prstGeom prst="bentConnector3">
          <a:avLst>
            <a:gd name="adj1" fmla="val 123100"/>
          </a:avLst>
        </a:prstGeom>
        <a:noFill/>
        <a:ln w="76200" cap="flat" cmpd="sng" algn="ctr">
          <a:solidFill>
            <a:srgbClr val="6699FF"/>
          </a:solidFill>
          <a:prstDash val="solid"/>
          <a:tailEnd type="triangle"/>
        </a:ln>
        <a:effectLst/>
      </xdr:spPr>
    </xdr:cxnSp>
    <xdr:clientData/>
  </xdr:twoCellAnchor>
  <xdr:twoCellAnchor>
    <xdr:from>
      <xdr:col>95</xdr:col>
      <xdr:colOff>323850</xdr:colOff>
      <xdr:row>52</xdr:row>
      <xdr:rowOff>123825</xdr:rowOff>
    </xdr:from>
    <xdr:to>
      <xdr:col>99</xdr:col>
      <xdr:colOff>190500</xdr:colOff>
      <xdr:row>58</xdr:row>
      <xdr:rowOff>19050</xdr:rowOff>
    </xdr:to>
    <xdr:sp macro="" textlink="">
      <xdr:nvSpPr>
        <xdr:cNvPr id="218" name="Rounded Rectangle 44">
          <a:extLst>
            <a:ext uri="{FF2B5EF4-FFF2-40B4-BE49-F238E27FC236}">
              <a16:creationId xmlns:a16="http://schemas.microsoft.com/office/drawing/2014/main" id="{7882E74B-96C2-453D-852B-5D0E5D02A547}"/>
            </a:ext>
          </a:extLst>
        </xdr:cNvPr>
        <xdr:cNvSpPr/>
      </xdr:nvSpPr>
      <xdr:spPr>
        <a:xfrm>
          <a:off x="58845450" y="14141450"/>
          <a:ext cx="2305050" cy="1041400"/>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a:solidFill>
                <a:sysClr val="windowText" lastClr="000000"/>
              </a:solidFill>
            </a:rPr>
            <a:t>DFT Pumps</a:t>
          </a:r>
        </a:p>
      </xdr:txBody>
    </xdr:sp>
    <xdr:clientData/>
  </xdr:twoCellAnchor>
  <xdr:twoCellAnchor>
    <xdr:from>
      <xdr:col>94</xdr:col>
      <xdr:colOff>285750</xdr:colOff>
      <xdr:row>61</xdr:row>
      <xdr:rowOff>19050</xdr:rowOff>
    </xdr:from>
    <xdr:to>
      <xdr:col>97</xdr:col>
      <xdr:colOff>257175</xdr:colOff>
      <xdr:row>64</xdr:row>
      <xdr:rowOff>171450</xdr:rowOff>
    </xdr:to>
    <xdr:sp macro="" textlink="">
      <xdr:nvSpPr>
        <xdr:cNvPr id="219" name="Rounded Rectangle 45">
          <a:extLst>
            <a:ext uri="{FF2B5EF4-FFF2-40B4-BE49-F238E27FC236}">
              <a16:creationId xmlns:a16="http://schemas.microsoft.com/office/drawing/2014/main" id="{43D6075F-7162-4C63-A068-C1A3CCDC125D}"/>
            </a:ext>
          </a:extLst>
        </xdr:cNvPr>
        <xdr:cNvSpPr/>
      </xdr:nvSpPr>
      <xdr:spPr>
        <a:xfrm>
          <a:off x="58197750" y="15754350"/>
          <a:ext cx="1797050" cy="72390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81</xdr:col>
      <xdr:colOff>366712</xdr:colOff>
      <xdr:row>55</xdr:row>
      <xdr:rowOff>152400</xdr:rowOff>
    </xdr:from>
    <xdr:to>
      <xdr:col>87</xdr:col>
      <xdr:colOff>333374</xdr:colOff>
      <xdr:row>77</xdr:row>
      <xdr:rowOff>152399</xdr:rowOff>
    </xdr:to>
    <xdr:cxnSp macro="">
      <xdr:nvCxnSpPr>
        <xdr:cNvPr id="220" name="Elbow Connector 47">
          <a:extLst>
            <a:ext uri="{FF2B5EF4-FFF2-40B4-BE49-F238E27FC236}">
              <a16:creationId xmlns:a16="http://schemas.microsoft.com/office/drawing/2014/main" id="{293A3685-7067-4544-BA9A-775666C1591A}"/>
            </a:ext>
          </a:extLst>
        </xdr:cNvPr>
        <xdr:cNvCxnSpPr>
          <a:stCxn id="213" idx="2"/>
          <a:endCxn id="216" idx="1"/>
        </xdr:cNvCxnSpPr>
      </xdr:nvCxnSpPr>
      <xdr:spPr>
        <a:xfrm rot="5400000" flipH="1" flipV="1">
          <a:off x="50073718" y="15028069"/>
          <a:ext cx="4190999" cy="3624262"/>
        </a:xfrm>
        <a:prstGeom prst="bentConnector4">
          <a:avLst>
            <a:gd name="adj1" fmla="val -32035"/>
            <a:gd name="adj2" fmla="val 53625"/>
          </a:avLst>
        </a:prstGeom>
        <a:ln w="76200">
          <a:solidFill>
            <a:srgbClr val="FF99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85726</xdr:colOff>
      <xdr:row>72</xdr:row>
      <xdr:rowOff>123824</xdr:rowOff>
    </xdr:from>
    <xdr:to>
      <xdr:col>89</xdr:col>
      <xdr:colOff>533401</xdr:colOff>
      <xdr:row>95</xdr:row>
      <xdr:rowOff>75246</xdr:rowOff>
    </xdr:to>
    <xdr:cxnSp macro="">
      <xdr:nvCxnSpPr>
        <xdr:cNvPr id="221" name="Elbow Connector 48">
          <a:extLst>
            <a:ext uri="{FF2B5EF4-FFF2-40B4-BE49-F238E27FC236}">
              <a16:creationId xmlns:a16="http://schemas.microsoft.com/office/drawing/2014/main" id="{99466015-6F12-448F-BE07-4E7A396F1947}"/>
            </a:ext>
          </a:extLst>
        </xdr:cNvPr>
        <xdr:cNvCxnSpPr>
          <a:stCxn id="231" idx="1"/>
          <a:endCxn id="213" idx="1"/>
        </xdr:cNvCxnSpPr>
      </xdr:nvCxnSpPr>
      <xdr:spPr>
        <a:xfrm rot="10800000">
          <a:off x="48850551" y="17957799"/>
          <a:ext cx="6546850" cy="4329747"/>
        </a:xfrm>
        <a:prstGeom prst="bentConnector3">
          <a:avLst>
            <a:gd name="adj1" fmla="val 164099"/>
          </a:avLst>
        </a:prstGeom>
        <a:noFill/>
        <a:ln w="76200" cap="flat" cmpd="sng" algn="ctr">
          <a:solidFill>
            <a:srgbClr val="FF00FF"/>
          </a:solidFill>
          <a:prstDash val="dash"/>
          <a:tailEnd type="triangle"/>
        </a:ln>
        <a:effectLst/>
      </xdr:spPr>
    </xdr:cxnSp>
    <xdr:clientData/>
  </xdr:twoCellAnchor>
  <xdr:twoCellAnchor>
    <xdr:from>
      <xdr:col>68</xdr:col>
      <xdr:colOff>457311</xdr:colOff>
      <xdr:row>14</xdr:row>
      <xdr:rowOff>95139</xdr:rowOff>
    </xdr:from>
    <xdr:to>
      <xdr:col>69</xdr:col>
      <xdr:colOff>286197</xdr:colOff>
      <xdr:row>19</xdr:row>
      <xdr:rowOff>84735</xdr:rowOff>
    </xdr:to>
    <xdr:sp macro="" textlink="">
      <xdr:nvSpPr>
        <xdr:cNvPr id="222" name="Right Arrow 49">
          <a:extLst>
            <a:ext uri="{FF2B5EF4-FFF2-40B4-BE49-F238E27FC236}">
              <a16:creationId xmlns:a16="http://schemas.microsoft.com/office/drawing/2014/main" id="{9C40C529-5A80-47D4-8E20-6EA27BA7FC24}"/>
            </a:ext>
          </a:extLst>
        </xdr:cNvPr>
        <xdr:cNvSpPr/>
      </xdr:nvSpPr>
      <xdr:spPr>
        <a:xfrm rot="5400000">
          <a:off x="42266318" y="7130332"/>
          <a:ext cx="945271" cy="438486"/>
        </a:xfrm>
        <a:prstGeom prst="rightArrow">
          <a:avLst>
            <a:gd name="adj1" fmla="val 36885"/>
            <a:gd name="adj2" fmla="val 45628"/>
          </a:avLst>
        </a:prstGeom>
        <a:solidFill>
          <a:srgbClr val="CC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90</xdr:col>
      <xdr:colOff>614878</xdr:colOff>
      <xdr:row>6</xdr:row>
      <xdr:rowOff>304800</xdr:rowOff>
    </xdr:from>
    <xdr:to>
      <xdr:col>92</xdr:col>
      <xdr:colOff>714375</xdr:colOff>
      <xdr:row>6</xdr:row>
      <xdr:rowOff>323898</xdr:rowOff>
    </xdr:to>
    <xdr:cxnSp macro="">
      <xdr:nvCxnSpPr>
        <xdr:cNvPr id="223" name="Straight Arrow Connector 222">
          <a:extLst>
            <a:ext uri="{FF2B5EF4-FFF2-40B4-BE49-F238E27FC236}">
              <a16:creationId xmlns:a16="http://schemas.microsoft.com/office/drawing/2014/main" id="{5F143E06-579B-48EF-B52A-4FA613B97474}"/>
            </a:ext>
          </a:extLst>
        </xdr:cNvPr>
        <xdr:cNvCxnSpPr/>
      </xdr:nvCxnSpPr>
      <xdr:spPr>
        <a:xfrm flipH="1">
          <a:off x="56082128" y="3857625"/>
          <a:ext cx="1217097" cy="19098"/>
        </a:xfrm>
        <a:prstGeom prst="straightConnector1">
          <a:avLst/>
        </a:prstGeom>
        <a:noFill/>
        <a:ln w="76200" cap="flat" cmpd="sng" algn="ctr">
          <a:solidFill>
            <a:srgbClr val="FF00FF"/>
          </a:solidFill>
          <a:prstDash val="solid"/>
          <a:tailEnd type="triangle"/>
        </a:ln>
        <a:effectLst/>
      </xdr:spPr>
    </xdr:cxnSp>
    <xdr:clientData/>
  </xdr:twoCellAnchor>
  <xdr:twoCellAnchor>
    <xdr:from>
      <xdr:col>95</xdr:col>
      <xdr:colOff>597416</xdr:colOff>
      <xdr:row>6</xdr:row>
      <xdr:rowOff>333374</xdr:rowOff>
    </xdr:from>
    <xdr:to>
      <xdr:col>98</xdr:col>
      <xdr:colOff>85724</xdr:colOff>
      <xdr:row>6</xdr:row>
      <xdr:rowOff>355306</xdr:rowOff>
    </xdr:to>
    <xdr:cxnSp macro="">
      <xdr:nvCxnSpPr>
        <xdr:cNvPr id="224" name="Straight Arrow Connector 223">
          <a:extLst>
            <a:ext uri="{FF2B5EF4-FFF2-40B4-BE49-F238E27FC236}">
              <a16:creationId xmlns:a16="http://schemas.microsoft.com/office/drawing/2014/main" id="{987D9D9C-A593-4A44-9CAE-F6C6CF8417B5}"/>
            </a:ext>
          </a:extLst>
        </xdr:cNvPr>
        <xdr:cNvCxnSpPr/>
      </xdr:nvCxnSpPr>
      <xdr:spPr>
        <a:xfrm flipH="1">
          <a:off x="59122191" y="3889374"/>
          <a:ext cx="1317108" cy="15582"/>
        </a:xfrm>
        <a:prstGeom prst="straightConnector1">
          <a:avLst/>
        </a:prstGeom>
        <a:noFill/>
        <a:ln w="76200" cap="flat" cmpd="sng" algn="ctr">
          <a:solidFill>
            <a:srgbClr val="FF00FF"/>
          </a:solidFill>
          <a:prstDash val="dash"/>
          <a:tailEnd type="triangle"/>
        </a:ln>
        <a:effectLst/>
      </xdr:spPr>
    </xdr:cxnSp>
    <xdr:clientData/>
  </xdr:twoCellAnchor>
  <xdr:twoCellAnchor>
    <xdr:from>
      <xdr:col>86</xdr:col>
      <xdr:colOff>521970</xdr:colOff>
      <xdr:row>71</xdr:row>
      <xdr:rowOff>171450</xdr:rowOff>
    </xdr:from>
    <xdr:to>
      <xdr:col>91</xdr:col>
      <xdr:colOff>133349</xdr:colOff>
      <xdr:row>78</xdr:row>
      <xdr:rowOff>9526</xdr:rowOff>
    </xdr:to>
    <xdr:sp macro="" textlink="">
      <xdr:nvSpPr>
        <xdr:cNvPr id="225" name="Rounded Rectangle 52">
          <a:extLst>
            <a:ext uri="{FF2B5EF4-FFF2-40B4-BE49-F238E27FC236}">
              <a16:creationId xmlns:a16="http://schemas.microsoft.com/office/drawing/2014/main" id="{3622B0A1-FCC7-40C4-B654-50865BE9F81D}"/>
            </a:ext>
          </a:extLst>
        </xdr:cNvPr>
        <xdr:cNvSpPr/>
      </xdr:nvSpPr>
      <xdr:spPr>
        <a:xfrm>
          <a:off x="53560345" y="17811750"/>
          <a:ext cx="2656204" cy="1168401"/>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Hot Water Distribution Pumps</a:t>
          </a:r>
        </a:p>
      </xdr:txBody>
    </xdr:sp>
    <xdr:clientData/>
  </xdr:twoCellAnchor>
  <xdr:twoCellAnchor>
    <xdr:from>
      <xdr:col>88</xdr:col>
      <xdr:colOff>296195</xdr:colOff>
      <xdr:row>64</xdr:row>
      <xdr:rowOff>179073</xdr:rowOff>
    </xdr:from>
    <xdr:to>
      <xdr:col>89</xdr:col>
      <xdr:colOff>247648</xdr:colOff>
      <xdr:row>70</xdr:row>
      <xdr:rowOff>87637</xdr:rowOff>
    </xdr:to>
    <xdr:sp macro="" textlink="">
      <xdr:nvSpPr>
        <xdr:cNvPr id="226" name="Right Arrow 53">
          <a:extLst>
            <a:ext uri="{FF2B5EF4-FFF2-40B4-BE49-F238E27FC236}">
              <a16:creationId xmlns:a16="http://schemas.microsoft.com/office/drawing/2014/main" id="{5F51027E-E198-4AAC-86ED-85FCAD905AF8}"/>
            </a:ext>
          </a:extLst>
        </xdr:cNvPr>
        <xdr:cNvSpPr/>
      </xdr:nvSpPr>
      <xdr:spPr>
        <a:xfrm rot="5400000">
          <a:off x="54306927" y="16729541"/>
          <a:ext cx="1045214" cy="564228"/>
        </a:xfrm>
        <a:prstGeom prst="rightArrow">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v</a:t>
          </a:r>
        </a:p>
      </xdr:txBody>
    </xdr:sp>
    <xdr:clientData/>
  </xdr:twoCellAnchor>
  <xdr:twoCellAnchor>
    <xdr:from>
      <xdr:col>88</xdr:col>
      <xdr:colOff>9525</xdr:colOff>
      <xdr:row>64</xdr:row>
      <xdr:rowOff>28575</xdr:rowOff>
    </xdr:from>
    <xdr:to>
      <xdr:col>91</xdr:col>
      <xdr:colOff>228291</xdr:colOff>
      <xdr:row>67</xdr:row>
      <xdr:rowOff>96205</xdr:rowOff>
    </xdr:to>
    <xdr:sp macro="" textlink="">
      <xdr:nvSpPr>
        <xdr:cNvPr id="227" name="Rounded Rectangle 54">
          <a:extLst>
            <a:ext uri="{FF2B5EF4-FFF2-40B4-BE49-F238E27FC236}">
              <a16:creationId xmlns:a16="http://schemas.microsoft.com/office/drawing/2014/main" id="{8F8B7F34-CB09-4883-9AB4-A13099708F9D}"/>
            </a:ext>
          </a:extLst>
        </xdr:cNvPr>
        <xdr:cNvSpPr/>
      </xdr:nvSpPr>
      <xdr:spPr>
        <a:xfrm>
          <a:off x="54260750" y="16332200"/>
          <a:ext cx="2050741" cy="642305"/>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90</xdr:col>
      <xdr:colOff>552450</xdr:colOff>
      <xdr:row>30</xdr:row>
      <xdr:rowOff>114300</xdr:rowOff>
    </xdr:from>
    <xdr:to>
      <xdr:col>93</xdr:col>
      <xdr:colOff>523875</xdr:colOff>
      <xdr:row>34</xdr:row>
      <xdr:rowOff>76200</xdr:rowOff>
    </xdr:to>
    <xdr:sp macro="" textlink="">
      <xdr:nvSpPr>
        <xdr:cNvPr id="228" name="Rounded Rectangle 45">
          <a:extLst>
            <a:ext uri="{FF2B5EF4-FFF2-40B4-BE49-F238E27FC236}">
              <a16:creationId xmlns:a16="http://schemas.microsoft.com/office/drawing/2014/main" id="{61A5755C-84B4-4A09-A6E9-78169C2B9990}"/>
            </a:ext>
          </a:extLst>
        </xdr:cNvPr>
        <xdr:cNvSpPr/>
      </xdr:nvSpPr>
      <xdr:spPr>
        <a:xfrm>
          <a:off x="56026050" y="9944100"/>
          <a:ext cx="1797050" cy="723900"/>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ysClr val="windowText" lastClr="000000"/>
              </a:solidFill>
            </a:rPr>
            <a:t>Electricity</a:t>
          </a:r>
        </a:p>
      </xdr:txBody>
    </xdr:sp>
    <xdr:clientData/>
  </xdr:twoCellAnchor>
  <xdr:twoCellAnchor>
    <xdr:from>
      <xdr:col>96</xdr:col>
      <xdr:colOff>304800</xdr:colOff>
      <xdr:row>23</xdr:row>
      <xdr:rowOff>125727</xdr:rowOff>
    </xdr:from>
    <xdr:to>
      <xdr:col>97</xdr:col>
      <xdr:colOff>619601</xdr:colOff>
      <xdr:row>33</xdr:row>
      <xdr:rowOff>95251</xdr:rowOff>
    </xdr:to>
    <xdr:cxnSp macro="">
      <xdr:nvCxnSpPr>
        <xdr:cNvPr id="229" name="Elbow Connector 31">
          <a:extLst>
            <a:ext uri="{FF2B5EF4-FFF2-40B4-BE49-F238E27FC236}">
              <a16:creationId xmlns:a16="http://schemas.microsoft.com/office/drawing/2014/main" id="{730FB204-F57A-43A9-9429-E29139141284}"/>
            </a:ext>
          </a:extLst>
        </xdr:cNvPr>
        <xdr:cNvCxnSpPr>
          <a:stCxn id="199" idx="2"/>
        </xdr:cNvCxnSpPr>
      </xdr:nvCxnSpPr>
      <xdr:spPr>
        <a:xfrm rot="5400000">
          <a:off x="58953001" y="9101851"/>
          <a:ext cx="1877699" cy="911701"/>
        </a:xfrm>
        <a:prstGeom prst="bentConnector3">
          <a:avLst>
            <a:gd name="adj1" fmla="val 50000"/>
          </a:avLst>
        </a:prstGeom>
        <a:noFill/>
        <a:ln w="76200" cap="flat" cmpd="sng" algn="ctr">
          <a:solidFill>
            <a:srgbClr val="0000FF"/>
          </a:solidFill>
          <a:prstDash val="solid"/>
          <a:tailEnd type="triangle"/>
        </a:ln>
        <a:effectLst/>
      </xdr:spPr>
    </xdr:cxnSp>
    <xdr:clientData/>
  </xdr:twoCellAnchor>
  <xdr:twoCellAnchor>
    <xdr:from>
      <xdr:col>89</xdr:col>
      <xdr:colOff>3809</xdr:colOff>
      <xdr:row>78</xdr:row>
      <xdr:rowOff>9526</xdr:rowOff>
    </xdr:from>
    <xdr:to>
      <xdr:col>94</xdr:col>
      <xdr:colOff>295274</xdr:colOff>
      <xdr:row>89</xdr:row>
      <xdr:rowOff>38100</xdr:rowOff>
    </xdr:to>
    <xdr:cxnSp macro="">
      <xdr:nvCxnSpPr>
        <xdr:cNvPr id="230" name="Elbow Connector 46">
          <a:extLst>
            <a:ext uri="{FF2B5EF4-FFF2-40B4-BE49-F238E27FC236}">
              <a16:creationId xmlns:a16="http://schemas.microsoft.com/office/drawing/2014/main" id="{CFD4A262-D6B4-480E-B9F7-D1626417F2A0}"/>
            </a:ext>
          </a:extLst>
        </xdr:cNvPr>
        <xdr:cNvCxnSpPr>
          <a:stCxn id="225" idx="2"/>
          <a:endCxn id="231" idx="0"/>
        </xdr:cNvCxnSpPr>
      </xdr:nvCxnSpPr>
      <xdr:spPr>
        <a:xfrm rot="16200000" flipH="1">
          <a:off x="55477092" y="18374043"/>
          <a:ext cx="2127249" cy="3339465"/>
        </a:xfrm>
        <a:prstGeom prst="bentConnector3">
          <a:avLst>
            <a:gd name="adj1" fmla="val 50000"/>
          </a:avLst>
        </a:prstGeom>
        <a:ln w="762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533400</xdr:colOff>
      <xdr:row>89</xdr:row>
      <xdr:rowOff>38100</xdr:rowOff>
    </xdr:from>
    <xdr:to>
      <xdr:col>99</xdr:col>
      <xdr:colOff>57150</xdr:colOff>
      <xdr:row>101</xdr:row>
      <xdr:rowOff>112392</xdr:rowOff>
    </xdr:to>
    <xdr:sp macro="" textlink="">
      <xdr:nvSpPr>
        <xdr:cNvPr id="231" name="Rounded Rectangle 458">
          <a:extLst>
            <a:ext uri="{FF2B5EF4-FFF2-40B4-BE49-F238E27FC236}">
              <a16:creationId xmlns:a16="http://schemas.microsoft.com/office/drawing/2014/main" id="{274750B5-C95F-4871-9885-D2D9258DDD24}"/>
            </a:ext>
          </a:extLst>
        </xdr:cNvPr>
        <xdr:cNvSpPr/>
      </xdr:nvSpPr>
      <xdr:spPr>
        <a:xfrm>
          <a:off x="55397400" y="21107400"/>
          <a:ext cx="5619750" cy="2360292"/>
        </a:xfrm>
        <a:prstGeom prst="round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200" b="1" u="sng">
              <a:solidFill>
                <a:sysClr val="windowText" lastClr="000000"/>
              </a:solidFill>
            </a:rPr>
            <a:t>Hot</a:t>
          </a:r>
          <a:r>
            <a:rPr lang="en-US" sz="3200" b="1" u="sng" baseline="0">
              <a:solidFill>
                <a:sysClr val="windowText" lastClr="000000"/>
              </a:solidFill>
            </a:rPr>
            <a:t> Water Loads:</a:t>
          </a:r>
        </a:p>
        <a:p>
          <a:pPr algn="ctr"/>
          <a:r>
            <a:rPr lang="en-US" sz="3200" b="1" u="none" baseline="0">
              <a:solidFill>
                <a:sysClr val="windowText" lastClr="000000"/>
              </a:solidFill>
            </a:rPr>
            <a:t>Air Handling Unit Coils</a:t>
          </a:r>
        </a:p>
        <a:p>
          <a:pPr algn="ctr"/>
          <a:r>
            <a:rPr lang="en-US" sz="3200" b="1" u="none" baseline="0">
              <a:solidFill>
                <a:sysClr val="windowText" lastClr="000000"/>
              </a:solidFill>
            </a:rPr>
            <a:t>Process Hot Water</a:t>
          </a:r>
        </a:p>
        <a:p>
          <a:pPr algn="ctr"/>
          <a:r>
            <a:rPr lang="en-US" sz="3200" b="1" u="none" baseline="0">
              <a:solidFill>
                <a:sysClr val="windowText" lastClr="000000"/>
              </a:solidFill>
            </a:rPr>
            <a:t>Test Lab Water Control System</a:t>
          </a:r>
        </a:p>
      </xdr:txBody>
    </xdr:sp>
    <xdr:clientData/>
  </xdr:twoCellAnchor>
  <xdr:twoCellAnchor>
    <xdr:from>
      <xdr:col>84</xdr:col>
      <xdr:colOff>-1</xdr:colOff>
      <xdr:row>72</xdr:row>
      <xdr:rowOff>123824</xdr:rowOff>
    </xdr:from>
    <xdr:to>
      <xdr:col>86</xdr:col>
      <xdr:colOff>521970</xdr:colOff>
      <xdr:row>74</xdr:row>
      <xdr:rowOff>195263</xdr:rowOff>
    </xdr:to>
    <xdr:cxnSp macro="">
      <xdr:nvCxnSpPr>
        <xdr:cNvPr id="232" name="Elbow Connector 46">
          <a:extLst>
            <a:ext uri="{FF2B5EF4-FFF2-40B4-BE49-F238E27FC236}">
              <a16:creationId xmlns:a16="http://schemas.microsoft.com/office/drawing/2014/main" id="{FEF135DF-014E-45E3-999D-698A11BCA682}"/>
            </a:ext>
          </a:extLst>
        </xdr:cNvPr>
        <xdr:cNvCxnSpPr>
          <a:stCxn id="213" idx="3"/>
          <a:endCxn id="225" idx="1"/>
        </xdr:cNvCxnSpPr>
      </xdr:nvCxnSpPr>
      <xdr:spPr>
        <a:xfrm>
          <a:off x="51815999" y="17957799"/>
          <a:ext cx="1744346" cy="442914"/>
        </a:xfrm>
        <a:prstGeom prst="bentConnector3">
          <a:avLst>
            <a:gd name="adj1" fmla="val 50000"/>
          </a:avLst>
        </a:prstGeom>
        <a:ln w="762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291353</xdr:colOff>
      <xdr:row>5</xdr:row>
      <xdr:rowOff>257735</xdr:rowOff>
    </xdr:from>
    <xdr:to>
      <xdr:col>16</xdr:col>
      <xdr:colOff>437030</xdr:colOff>
      <xdr:row>8</xdr:row>
      <xdr:rowOff>212912</xdr:rowOff>
    </xdr:to>
    <xdr:cxnSp macro="">
      <xdr:nvCxnSpPr>
        <xdr:cNvPr id="3" name="Straight Arrow Connector 2">
          <a:extLst>
            <a:ext uri="{FF2B5EF4-FFF2-40B4-BE49-F238E27FC236}">
              <a16:creationId xmlns:a16="http://schemas.microsoft.com/office/drawing/2014/main" id="{3F63D699-D215-4172-8FA8-DF7B635E45B8}"/>
            </a:ext>
          </a:extLst>
        </xdr:cNvPr>
        <xdr:cNvCxnSpPr/>
      </xdr:nvCxnSpPr>
      <xdr:spPr>
        <a:xfrm flipH="1">
          <a:off x="17603040" y="1791260"/>
          <a:ext cx="140915" cy="817189"/>
        </a:xfrm>
        <a:prstGeom prst="straightConnector1">
          <a:avLst/>
        </a:prstGeom>
        <a:ln w="3810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xdr:colOff>
      <xdr:row>8</xdr:row>
      <xdr:rowOff>47623</xdr:rowOff>
    </xdr:from>
    <xdr:to>
      <xdr:col>12</xdr:col>
      <xdr:colOff>581025</xdr:colOff>
      <xdr:row>31</xdr:row>
      <xdr:rowOff>95249</xdr:rowOff>
    </xdr:to>
    <xdr:graphicFrame macro="">
      <xdr:nvGraphicFramePr>
        <xdr:cNvPr id="2" name="Chart 1">
          <a:extLst>
            <a:ext uri="{FF2B5EF4-FFF2-40B4-BE49-F238E27FC236}">
              <a16:creationId xmlns:a16="http://schemas.microsoft.com/office/drawing/2014/main" id="{004CF1D9-A316-4729-8056-39F96C0AD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66675</xdr:colOff>
      <xdr:row>8</xdr:row>
      <xdr:rowOff>38100</xdr:rowOff>
    </xdr:from>
    <xdr:to>
      <xdr:col>22</xdr:col>
      <xdr:colOff>600075</xdr:colOff>
      <xdr:row>31</xdr:row>
      <xdr:rowOff>85726</xdr:rowOff>
    </xdr:to>
    <xdr:graphicFrame macro="">
      <xdr:nvGraphicFramePr>
        <xdr:cNvPr id="3" name="Chart 2">
          <a:extLst>
            <a:ext uri="{FF2B5EF4-FFF2-40B4-BE49-F238E27FC236}">
              <a16:creationId xmlns:a16="http://schemas.microsoft.com/office/drawing/2014/main" id="{E23F93E0-5024-4553-9203-CC0CF04D4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304798</xdr:colOff>
      <xdr:row>15</xdr:row>
      <xdr:rowOff>19045</xdr:rowOff>
    </xdr:from>
    <xdr:to>
      <xdr:col>23</xdr:col>
      <xdr:colOff>9524</xdr:colOff>
      <xdr:row>35</xdr:row>
      <xdr:rowOff>107154</xdr:rowOff>
    </xdr:to>
    <xdr:graphicFrame macro="">
      <xdr:nvGraphicFramePr>
        <xdr:cNvPr id="2" name="Chart 1">
          <a:extLst>
            <a:ext uri="{FF2B5EF4-FFF2-40B4-BE49-F238E27FC236}">
              <a16:creationId xmlns:a16="http://schemas.microsoft.com/office/drawing/2014/main" id="{9809D2D4-63D4-403E-BDD4-385D21391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200019</xdr:colOff>
      <xdr:row>36</xdr:row>
      <xdr:rowOff>104773</xdr:rowOff>
    </xdr:from>
    <xdr:to>
      <xdr:col>22</xdr:col>
      <xdr:colOff>135731</xdr:colOff>
      <xdr:row>57</xdr:row>
      <xdr:rowOff>85725</xdr:rowOff>
    </xdr:to>
    <xdr:graphicFrame macro="">
      <xdr:nvGraphicFramePr>
        <xdr:cNvPr id="3" name="Chart 2">
          <a:extLst>
            <a:ext uri="{FF2B5EF4-FFF2-40B4-BE49-F238E27FC236}">
              <a16:creationId xmlns:a16="http://schemas.microsoft.com/office/drawing/2014/main" id="{5E2BFF91-FC7F-4E50-B551-99F659FB3B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126204</xdr:colOff>
      <xdr:row>0</xdr:row>
      <xdr:rowOff>0</xdr:rowOff>
    </xdr:from>
    <xdr:to>
      <xdr:col>45</xdr:col>
      <xdr:colOff>104775</xdr:colOff>
      <xdr:row>13</xdr:row>
      <xdr:rowOff>171449</xdr:rowOff>
    </xdr:to>
    <xdr:graphicFrame macro="">
      <xdr:nvGraphicFramePr>
        <xdr:cNvPr id="4" name="Chart 3">
          <a:extLst>
            <a:ext uri="{FF2B5EF4-FFF2-40B4-BE49-F238E27FC236}">
              <a16:creationId xmlns:a16="http://schemas.microsoft.com/office/drawing/2014/main" id="{02089B10-0539-417A-B8AD-9D522D4B32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316705</xdr:colOff>
      <xdr:row>0</xdr:row>
      <xdr:rowOff>21429</xdr:rowOff>
    </xdr:from>
    <xdr:to>
      <xdr:col>23</xdr:col>
      <xdr:colOff>21429</xdr:colOff>
      <xdr:row>14</xdr:row>
      <xdr:rowOff>9524</xdr:rowOff>
    </xdr:to>
    <xdr:graphicFrame macro="">
      <xdr:nvGraphicFramePr>
        <xdr:cNvPr id="5" name="Chart 4">
          <a:extLst>
            <a:ext uri="{FF2B5EF4-FFF2-40B4-BE49-F238E27FC236}">
              <a16:creationId xmlns:a16="http://schemas.microsoft.com/office/drawing/2014/main" id="{858773C2-31DF-484C-9D07-97E4F13451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189307</xdr:colOff>
      <xdr:row>15</xdr:row>
      <xdr:rowOff>27380</xdr:rowOff>
    </xdr:from>
    <xdr:to>
      <xdr:col>45</xdr:col>
      <xdr:colOff>152400</xdr:colOff>
      <xdr:row>35</xdr:row>
      <xdr:rowOff>130968</xdr:rowOff>
    </xdr:to>
    <xdr:graphicFrame macro="">
      <xdr:nvGraphicFramePr>
        <xdr:cNvPr id="6" name="Chart 5">
          <a:extLst>
            <a:ext uri="{FF2B5EF4-FFF2-40B4-BE49-F238E27FC236}">
              <a16:creationId xmlns:a16="http://schemas.microsoft.com/office/drawing/2014/main" id="{D2A6EEA1-2648-4161-838E-F06D11DA68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65480</xdr:colOff>
      <xdr:row>36</xdr:row>
      <xdr:rowOff>113108</xdr:rowOff>
    </xdr:from>
    <xdr:to>
      <xdr:col>45</xdr:col>
      <xdr:colOff>28576</xdr:colOff>
      <xdr:row>57</xdr:row>
      <xdr:rowOff>83344</xdr:rowOff>
    </xdr:to>
    <xdr:graphicFrame macro="">
      <xdr:nvGraphicFramePr>
        <xdr:cNvPr id="7" name="Chart 6">
          <a:extLst>
            <a:ext uri="{FF2B5EF4-FFF2-40B4-BE49-F238E27FC236}">
              <a16:creationId xmlns:a16="http://schemas.microsoft.com/office/drawing/2014/main" id="{25553241-7869-435A-B2D0-2337386C37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20</xdr:col>
      <xdr:colOff>180974</xdr:colOff>
      <xdr:row>1</xdr:row>
      <xdr:rowOff>28575</xdr:rowOff>
    </xdr:from>
    <xdr:to>
      <xdr:col>46</xdr:col>
      <xdr:colOff>238125</xdr:colOff>
      <xdr:row>20</xdr:row>
      <xdr:rowOff>219075</xdr:rowOff>
    </xdr:to>
    <xdr:graphicFrame macro="">
      <xdr:nvGraphicFramePr>
        <xdr:cNvPr id="6" name="Chart 5">
          <a:extLst>
            <a:ext uri="{FF2B5EF4-FFF2-40B4-BE49-F238E27FC236}">
              <a16:creationId xmlns:a16="http://schemas.microsoft.com/office/drawing/2014/main" id="{6611315A-A452-4A33-9001-5F1CE979A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88897</xdr:colOff>
      <xdr:row>21</xdr:row>
      <xdr:rowOff>7142</xdr:rowOff>
    </xdr:from>
    <xdr:to>
      <xdr:col>57</xdr:col>
      <xdr:colOff>190498</xdr:colOff>
      <xdr:row>53</xdr:row>
      <xdr:rowOff>95250</xdr:rowOff>
    </xdr:to>
    <xdr:graphicFrame macro="">
      <xdr:nvGraphicFramePr>
        <xdr:cNvPr id="7" name="Chart 6">
          <a:extLst>
            <a:ext uri="{FF2B5EF4-FFF2-40B4-BE49-F238E27FC236}">
              <a16:creationId xmlns:a16="http://schemas.microsoft.com/office/drawing/2014/main" id="{FEDEA1CA-15E1-4D94-814A-2DA22F8D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40</xdr:col>
      <xdr:colOff>486435</xdr:colOff>
      <xdr:row>40</xdr:row>
      <xdr:rowOff>76575</xdr:rowOff>
    </xdr:from>
    <xdr:to>
      <xdr:col>46</xdr:col>
      <xdr:colOff>826482</xdr:colOff>
      <xdr:row>42</xdr:row>
      <xdr:rowOff>124200</xdr:rowOff>
    </xdr:to>
    <xdr:sp macro="" textlink="">
      <xdr:nvSpPr>
        <xdr:cNvPr id="2" name="Arrow: Up 1">
          <a:extLst>
            <a:ext uri="{FF2B5EF4-FFF2-40B4-BE49-F238E27FC236}">
              <a16:creationId xmlns:a16="http://schemas.microsoft.com/office/drawing/2014/main" id="{C06A1164-65AA-43A6-AB81-711F30A979BE}"/>
            </a:ext>
          </a:extLst>
        </xdr:cNvPr>
        <xdr:cNvSpPr/>
      </xdr:nvSpPr>
      <xdr:spPr>
        <a:xfrm rot="3185977">
          <a:off x="49259359" y="7507501"/>
          <a:ext cx="406400" cy="4346897"/>
        </a:xfrm>
        <a:prstGeom prst="upArrow">
          <a:avLst/>
        </a:prstGeom>
        <a:solidFill>
          <a:srgbClr val="9B902B"/>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186485</xdr:colOff>
      <xdr:row>31</xdr:row>
      <xdr:rowOff>98732</xdr:rowOff>
    </xdr:from>
    <xdr:to>
      <xdr:col>14</xdr:col>
      <xdr:colOff>596060</xdr:colOff>
      <xdr:row>40</xdr:row>
      <xdr:rowOff>33843</xdr:rowOff>
    </xdr:to>
    <xdr:sp macro="" textlink="">
      <xdr:nvSpPr>
        <xdr:cNvPr id="3" name="Arrow: Up 2">
          <a:extLst>
            <a:ext uri="{FF2B5EF4-FFF2-40B4-BE49-F238E27FC236}">
              <a16:creationId xmlns:a16="http://schemas.microsoft.com/office/drawing/2014/main" id="{55E5528B-C7AA-45E2-AB9F-17FD03BD87A8}"/>
            </a:ext>
          </a:extLst>
        </xdr:cNvPr>
        <xdr:cNvSpPr/>
      </xdr:nvSpPr>
      <xdr:spPr>
        <a:xfrm rot="10225917">
          <a:off x="16480585" y="7636182"/>
          <a:ext cx="415925" cy="1795661"/>
        </a:xfrm>
        <a:prstGeom prst="upArrow">
          <a:avLst/>
        </a:prstGeom>
        <a:solidFill>
          <a:srgbClr val="9B902B"/>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1200150</xdr:colOff>
      <xdr:row>23</xdr:row>
      <xdr:rowOff>114299</xdr:rowOff>
    </xdr:from>
    <xdr:to>
      <xdr:col>18</xdr:col>
      <xdr:colOff>533400</xdr:colOff>
      <xdr:row>25</xdr:row>
      <xdr:rowOff>161924</xdr:rowOff>
    </xdr:to>
    <xdr:sp macro="" textlink="">
      <xdr:nvSpPr>
        <xdr:cNvPr id="4" name="Arrow: Up 3">
          <a:extLst>
            <a:ext uri="{FF2B5EF4-FFF2-40B4-BE49-F238E27FC236}">
              <a16:creationId xmlns:a16="http://schemas.microsoft.com/office/drawing/2014/main" id="{52FF99C0-2958-4024-BA5C-87694F0ED3B6}"/>
            </a:ext>
          </a:extLst>
        </xdr:cNvPr>
        <xdr:cNvSpPr/>
      </xdr:nvSpPr>
      <xdr:spPr>
        <a:xfrm rot="5044838">
          <a:off x="23039388" y="5964236"/>
          <a:ext cx="412750" cy="847725"/>
        </a:xfrm>
        <a:prstGeom prst="upArrow">
          <a:avLst/>
        </a:prstGeom>
        <a:solidFill>
          <a:srgbClr val="9B902B"/>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733424</xdr:colOff>
      <xdr:row>26</xdr:row>
      <xdr:rowOff>142874</xdr:rowOff>
    </xdr:from>
    <xdr:to>
      <xdr:col>14</xdr:col>
      <xdr:colOff>742949</xdr:colOff>
      <xdr:row>32</xdr:row>
      <xdr:rowOff>142875</xdr:rowOff>
    </xdr:to>
    <xdr:sp macro="" textlink="">
      <xdr:nvSpPr>
        <xdr:cNvPr id="5" name="TextBox 4">
          <a:extLst>
            <a:ext uri="{FF2B5EF4-FFF2-40B4-BE49-F238E27FC236}">
              <a16:creationId xmlns:a16="http://schemas.microsoft.com/office/drawing/2014/main" id="{8A66D4F1-EB0F-4742-B999-73398F8DCA13}"/>
            </a:ext>
          </a:extLst>
        </xdr:cNvPr>
        <xdr:cNvSpPr txBox="1"/>
      </xdr:nvSpPr>
      <xdr:spPr>
        <a:xfrm>
          <a:off x="14404974" y="6765924"/>
          <a:ext cx="2635250" cy="1089026"/>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Work through</a:t>
          </a:r>
          <a:r>
            <a:rPr lang="en-US" sz="1100" baseline="0"/>
            <a:t> this brainstorming exercise with your DPW O&amp;M teams and contractors, especially Honeywell and SELECT your parameters for every SEU.</a:t>
          </a:r>
          <a:endParaRPr lang="en-US" sz="1100"/>
        </a:p>
      </xdr:txBody>
    </xdr:sp>
    <xdr:clientData/>
  </xdr:twoCellAnchor>
  <xdr:twoCellAnchor>
    <xdr:from>
      <xdr:col>15</xdr:col>
      <xdr:colOff>752476</xdr:colOff>
      <xdr:row>23</xdr:row>
      <xdr:rowOff>9525</xdr:rowOff>
    </xdr:from>
    <xdr:to>
      <xdr:col>17</xdr:col>
      <xdr:colOff>1276351</xdr:colOff>
      <xdr:row>30</xdr:row>
      <xdr:rowOff>85725</xdr:rowOff>
    </xdr:to>
    <xdr:sp macro="" textlink="">
      <xdr:nvSpPr>
        <xdr:cNvPr id="6" name="TextBox 5">
          <a:extLst>
            <a:ext uri="{FF2B5EF4-FFF2-40B4-BE49-F238E27FC236}">
              <a16:creationId xmlns:a16="http://schemas.microsoft.com/office/drawing/2014/main" id="{F109A8AF-9AB9-4111-B5BF-F48CEB460847}"/>
            </a:ext>
          </a:extLst>
        </xdr:cNvPr>
        <xdr:cNvSpPr txBox="1"/>
      </xdr:nvSpPr>
      <xdr:spPr>
        <a:xfrm>
          <a:off x="18361026" y="6073775"/>
          <a:ext cx="4537075" cy="1362075"/>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Operational controls establish criteria to monitor to optimize the energy performance of an SEU. The absence of these operational control parameters can lead to a significant deviations from intended energy performance.</a:t>
          </a:r>
        </a:p>
        <a:p>
          <a:endParaRPr lang="en-US" sz="1100"/>
        </a:p>
        <a:p>
          <a:r>
            <a:rPr lang="en-US" sz="1100"/>
            <a:t>Imagine how chiller energy consumption would be impacted if there were no controls on thermostats!</a:t>
          </a:r>
        </a:p>
      </xdr:txBody>
    </xdr:sp>
    <xdr:clientData/>
  </xdr:twoCellAnchor>
  <xdr:twoCellAnchor>
    <xdr:from>
      <xdr:col>18</xdr:col>
      <xdr:colOff>533401</xdr:colOff>
      <xdr:row>21</xdr:row>
      <xdr:rowOff>152400</xdr:rowOff>
    </xdr:from>
    <xdr:to>
      <xdr:col>22</xdr:col>
      <xdr:colOff>257176</xdr:colOff>
      <xdr:row>33</xdr:row>
      <xdr:rowOff>152400</xdr:rowOff>
    </xdr:to>
    <xdr:sp macro="" textlink="">
      <xdr:nvSpPr>
        <xdr:cNvPr id="7" name="TextBox 6">
          <a:extLst>
            <a:ext uri="{FF2B5EF4-FFF2-40B4-BE49-F238E27FC236}">
              <a16:creationId xmlns:a16="http://schemas.microsoft.com/office/drawing/2014/main" id="{046D3311-541D-4AEA-BA1B-6A8C7665B52B}"/>
            </a:ext>
          </a:extLst>
        </xdr:cNvPr>
        <xdr:cNvSpPr txBox="1"/>
      </xdr:nvSpPr>
      <xdr:spPr>
        <a:xfrm>
          <a:off x="23669626" y="5857875"/>
          <a:ext cx="2749550" cy="2190750"/>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Examples of significant deviation include:</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Systems running outside of control limits</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Energy consumption varies unexpectedly</a:t>
          </a:r>
          <a:r>
            <a:rPr lang="en-US"/>
            <a:t> </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Change in efficiency</a:t>
          </a:r>
          <a:r>
            <a:rPr lang="en-US"/>
            <a:t> </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Increased maintenance requirements</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Increased equipment downtime</a:t>
          </a:r>
          <a:r>
            <a:rPr lang="en-US"/>
            <a:t> </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Increased in equipment load time</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Longer run times</a:t>
          </a: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Need to change settings</a:t>
          </a:r>
          <a:r>
            <a:rPr lang="en-US"/>
            <a:t> frequently</a:t>
          </a:r>
        </a:p>
      </xdr:txBody>
    </xdr:sp>
    <xdr:clientData/>
  </xdr:twoCellAnchor>
  <xdr:twoCellAnchor>
    <xdr:from>
      <xdr:col>14</xdr:col>
      <xdr:colOff>209551</xdr:colOff>
      <xdr:row>40</xdr:row>
      <xdr:rowOff>28575</xdr:rowOff>
    </xdr:from>
    <xdr:to>
      <xdr:col>15</xdr:col>
      <xdr:colOff>2447925</xdr:colOff>
      <xdr:row>50</xdr:row>
      <xdr:rowOff>133351</xdr:rowOff>
    </xdr:to>
    <xdr:sp macro="" textlink="">
      <xdr:nvSpPr>
        <xdr:cNvPr id="8" name="TextBox 7">
          <a:extLst>
            <a:ext uri="{FF2B5EF4-FFF2-40B4-BE49-F238E27FC236}">
              <a16:creationId xmlns:a16="http://schemas.microsoft.com/office/drawing/2014/main" id="{6186192E-61C5-4680-95FB-19612D762ED0}"/>
            </a:ext>
          </a:extLst>
        </xdr:cNvPr>
        <xdr:cNvSpPr txBox="1"/>
      </xdr:nvSpPr>
      <xdr:spPr>
        <a:xfrm>
          <a:off x="16506826" y="9426575"/>
          <a:ext cx="3549649" cy="1936751"/>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Possible sources for finding operational control</a:t>
          </a:r>
          <a:r>
            <a:rPr lang="en-US" sz="1100" baseline="0"/>
            <a:t> criteria:</a:t>
          </a:r>
        </a:p>
        <a:p>
          <a:pPr marL="171450" indent="-171450">
            <a:buFont typeface="Arial" panose="020B0604020202020204" pitchFamily="34" charset="0"/>
            <a:buChar char="•"/>
          </a:pPr>
          <a:r>
            <a:rPr lang="en-US" sz="1100" baseline="0"/>
            <a:t>Manufacturer’s recommendation </a:t>
          </a:r>
        </a:p>
        <a:p>
          <a:pPr marL="171450" indent="-171450">
            <a:buFont typeface="Arial" panose="020B0604020202020204" pitchFamily="34" charset="0"/>
            <a:buChar char="•"/>
          </a:pPr>
          <a:r>
            <a:rPr lang="en-US" sz="1100" baseline="0"/>
            <a:t>Equipment technical manuals</a:t>
          </a:r>
        </a:p>
        <a:p>
          <a:pPr marL="171450" indent="-171450">
            <a:buFont typeface="Arial" panose="020B0604020202020204" pitchFamily="34" charset="0"/>
            <a:buChar char="•"/>
          </a:pPr>
          <a:r>
            <a:rPr lang="en-US" sz="1100" baseline="0"/>
            <a:t>Subject Matter Experts</a:t>
          </a:r>
        </a:p>
        <a:p>
          <a:pPr marL="171450" indent="-171450">
            <a:buFont typeface="Arial" panose="020B0604020202020204" pitchFamily="34" charset="0"/>
            <a:buChar char="•"/>
          </a:pPr>
          <a:r>
            <a:rPr lang="en-US" sz="1100" baseline="0"/>
            <a:t>Minimum process or system requirements</a:t>
          </a:r>
        </a:p>
        <a:p>
          <a:pPr marL="171450" indent="-171450">
            <a:buFont typeface="Arial" panose="020B0604020202020204" pitchFamily="34" charset="0"/>
            <a:buChar char="•"/>
          </a:pPr>
          <a:r>
            <a:rPr lang="en-US" sz="1100" baseline="0"/>
            <a:t>Service personnel suggested operating settings</a:t>
          </a:r>
        </a:p>
        <a:p>
          <a:pPr marL="171450" indent="-171450">
            <a:buFont typeface="Arial" panose="020B0604020202020204" pitchFamily="34" charset="0"/>
            <a:buChar char="•"/>
          </a:pPr>
          <a:r>
            <a:rPr lang="en-US" sz="1100" baseline="0"/>
            <a:t>Statistical process controls</a:t>
          </a:r>
        </a:p>
        <a:p>
          <a:pPr marL="171450" indent="-171450">
            <a:buFont typeface="Arial" panose="020B0604020202020204" pitchFamily="34" charset="0"/>
            <a:buChar char="•"/>
          </a:pPr>
          <a:r>
            <a:rPr lang="en-US" sz="1100" baseline="0"/>
            <a:t>Benchmarking performance of similar equipment</a:t>
          </a:r>
        </a:p>
        <a:p>
          <a:pPr marL="171450" indent="-171450">
            <a:buFont typeface="Arial" panose="020B0604020202020204" pitchFamily="34" charset="0"/>
            <a:buChar char="•"/>
          </a:pPr>
          <a:r>
            <a:rPr lang="en-US" sz="1100" baseline="0"/>
            <a:t>Industry standards </a:t>
          </a:r>
        </a:p>
        <a:p>
          <a:endParaRPr lang="en-US" sz="1100"/>
        </a:p>
      </xdr:txBody>
    </xdr:sp>
    <xdr:clientData/>
  </xdr:twoCellAnchor>
  <xdr:twoCellAnchor>
    <xdr:from>
      <xdr:col>23</xdr:col>
      <xdr:colOff>495300</xdr:colOff>
      <xdr:row>22</xdr:row>
      <xdr:rowOff>171450</xdr:rowOff>
    </xdr:from>
    <xdr:to>
      <xdr:col>27</xdr:col>
      <xdr:colOff>771525</xdr:colOff>
      <xdr:row>36</xdr:row>
      <xdr:rowOff>66674</xdr:rowOff>
    </xdr:to>
    <xdr:sp macro="" textlink="">
      <xdr:nvSpPr>
        <xdr:cNvPr id="9" name="TextBox 8">
          <a:extLst>
            <a:ext uri="{FF2B5EF4-FFF2-40B4-BE49-F238E27FC236}">
              <a16:creationId xmlns:a16="http://schemas.microsoft.com/office/drawing/2014/main" id="{AE7039D0-E970-4BA9-8939-357387D0A450}"/>
            </a:ext>
          </a:extLst>
        </xdr:cNvPr>
        <xdr:cNvSpPr txBox="1"/>
      </xdr:nvSpPr>
      <xdr:spPr>
        <a:xfrm>
          <a:off x="29384625" y="6057900"/>
          <a:ext cx="6140450" cy="2460624"/>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This section identifies</a:t>
          </a:r>
          <a:r>
            <a:rPr lang="en-US" sz="1100" baseline="0"/>
            <a:t> details on the process for monitoring the selected parameters:</a:t>
          </a:r>
          <a:endParaRPr lang="en-US" sz="1100"/>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WHO? = Who monitors</a:t>
          </a:r>
          <a:r>
            <a:rPr lang="en-US" sz="1100" b="0" i="0" u="none" strike="noStrike" baseline="0">
              <a:solidFill>
                <a:schemeClr val="dk1"/>
              </a:solidFill>
              <a:effectLst/>
              <a:latin typeface="+mn-lt"/>
              <a:ea typeface="+mn-ea"/>
              <a:cs typeface="+mn-cs"/>
            </a:rPr>
            <a:t> the parameter and collects information?</a:t>
          </a:r>
          <a:endParaRPr lang="en-US" sz="1100" b="0" i="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WHAT? = What specific information is collected?</a:t>
          </a:r>
          <a:endParaRPr lang="en-US" sz="1100">
            <a:effectLst/>
          </a:endParaRP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WHERE? = Where</a:t>
          </a:r>
          <a:r>
            <a:rPr lang="en-US" sz="1100" b="0" i="0" u="none" strike="noStrike" baseline="0">
              <a:solidFill>
                <a:schemeClr val="dk1"/>
              </a:solidFill>
              <a:effectLst/>
              <a:latin typeface="+mn-lt"/>
              <a:ea typeface="+mn-ea"/>
              <a:cs typeface="+mn-cs"/>
            </a:rPr>
            <a:t> on site, within the scope of the EnMS are systems located that need the monitoring?</a:t>
          </a:r>
          <a:endParaRPr lang="en-US" sz="1100" b="0" i="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WHEN? = When</a:t>
          </a:r>
          <a:r>
            <a:rPr lang="en-US" sz="1100" b="0" i="0" baseline="0">
              <a:solidFill>
                <a:schemeClr val="dk1"/>
              </a:solidFill>
              <a:effectLst/>
              <a:latin typeface="+mn-lt"/>
              <a:ea typeface="+mn-ea"/>
              <a:cs typeface="+mn-cs"/>
            </a:rPr>
            <a:t> is data collected and recorded?</a:t>
          </a:r>
          <a:endParaRPr lang="en-US" sz="1100">
            <a:effectLst/>
          </a:endParaRPr>
        </a:p>
        <a:p>
          <a:pPr marL="171450" indent="-171450">
            <a:buFont typeface="Arial" panose="020B0604020202020204" pitchFamily="34" charset="0"/>
            <a:buChar char="•"/>
          </a:pPr>
          <a:r>
            <a:rPr lang="en-US" sz="1100" b="0" i="0" u="none" strike="noStrike">
              <a:solidFill>
                <a:schemeClr val="dk1"/>
              </a:solidFill>
              <a:effectLst/>
              <a:latin typeface="+mn-lt"/>
              <a:ea typeface="+mn-ea"/>
              <a:cs typeface="+mn-cs"/>
            </a:rPr>
            <a:t>HOW? = How is the data</a:t>
          </a:r>
          <a:r>
            <a:rPr lang="en-US" sz="1100" b="0" i="0" u="none" strike="noStrike" baseline="0">
              <a:solidFill>
                <a:schemeClr val="dk1"/>
              </a:solidFill>
              <a:effectLst/>
              <a:latin typeface="+mn-lt"/>
              <a:ea typeface="+mn-ea"/>
              <a:cs typeface="+mn-cs"/>
            </a:rPr>
            <a:t> collected? Is this a manual pen &amp; paper process or is this information recorded in a building automation system, etc.</a:t>
          </a:r>
          <a:endParaRPr lang="en-US"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US"/>
            <a:t>Action for data:</a:t>
          </a:r>
          <a:r>
            <a:rPr lang="en-US" baseline="0"/>
            <a:t>  </a:t>
          </a:r>
          <a:r>
            <a:rPr lang="en-US"/>
            <a:t>Once</a:t>
          </a:r>
          <a:r>
            <a:rPr lang="en-US" baseline="0"/>
            <a:t> the data is collected, what is done with it.</a:t>
          </a:r>
          <a:br>
            <a:rPr lang="en-US" baseline="0"/>
          </a:br>
          <a:r>
            <a:rPr lang="en-US" baseline="0"/>
            <a:t>	Where is the data stored? </a:t>
          </a:r>
          <a:br>
            <a:rPr lang="en-US" baseline="0"/>
          </a:br>
          <a:r>
            <a:rPr lang="en-US" baseline="0"/>
            <a:t>	Who gets the data?</a:t>
          </a:r>
          <a:br>
            <a:rPr lang="en-US" baseline="0"/>
          </a:br>
          <a:r>
            <a:rPr lang="en-US" baseline="0"/>
            <a:t>	 Who aggregates the data</a:t>
          </a:r>
          <a:br>
            <a:rPr lang="en-US" baseline="0"/>
          </a:br>
          <a:r>
            <a:rPr lang="en-US" baseline="0"/>
            <a:t>	 Who analyzes the data?</a:t>
          </a:r>
          <a:br>
            <a:rPr lang="en-US" baseline="0"/>
          </a:br>
          <a:r>
            <a:rPr lang="en-US" baseline="0"/>
            <a:t>	 Who issues actions based on the data analysis?</a:t>
          </a:r>
          <a:br>
            <a:rPr lang="en-US" baseline="0"/>
          </a:br>
          <a:br>
            <a:rPr lang="en-US" baseline="0"/>
          </a:br>
          <a:br>
            <a:rPr lang="en-US" baseline="0"/>
          </a:br>
          <a:endParaRPr lang="en-US" baseline="0"/>
        </a:p>
      </xdr:txBody>
    </xdr:sp>
    <xdr:clientData/>
  </xdr:twoCellAnchor>
  <xdr:twoCellAnchor>
    <xdr:from>
      <xdr:col>29</xdr:col>
      <xdr:colOff>247650</xdr:colOff>
      <xdr:row>23</xdr:row>
      <xdr:rowOff>123825</xdr:rowOff>
    </xdr:from>
    <xdr:to>
      <xdr:col>33</xdr:col>
      <xdr:colOff>180975</xdr:colOff>
      <xdr:row>35</xdr:row>
      <xdr:rowOff>85725</xdr:rowOff>
    </xdr:to>
    <xdr:sp macro="" textlink="">
      <xdr:nvSpPr>
        <xdr:cNvPr id="10" name="TextBox 9">
          <a:extLst>
            <a:ext uri="{FF2B5EF4-FFF2-40B4-BE49-F238E27FC236}">
              <a16:creationId xmlns:a16="http://schemas.microsoft.com/office/drawing/2014/main" id="{6DF8C4DA-9256-429A-BE97-69C04F45A768}"/>
            </a:ext>
          </a:extLst>
        </xdr:cNvPr>
        <xdr:cNvSpPr txBox="1"/>
      </xdr:nvSpPr>
      <xdr:spPr>
        <a:xfrm>
          <a:off x="37938075" y="6188075"/>
          <a:ext cx="3359150" cy="2152650"/>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In addition to the operational</a:t>
          </a:r>
          <a:r>
            <a:rPr lang="en-US" sz="1100" baseline="0"/>
            <a:t> controls, SEUs must also receive proper maintenance. This should already be in place for the SEU equipment. For the EnMS there must be specific maintenance criteria in the form of a preventative maintenance system (PMS) with daily, weekly, monthly, annual, etc. periodic maintenance items to be competed on the SEU systems. Records of the scheduling and completion of these PMS items must be kept.</a:t>
          </a:r>
          <a:endParaRPr lang="en-US" sz="1100"/>
        </a:p>
      </xdr:txBody>
    </xdr:sp>
    <xdr:clientData/>
  </xdr:twoCellAnchor>
  <xdr:twoCellAnchor>
    <xdr:from>
      <xdr:col>37</xdr:col>
      <xdr:colOff>238125</xdr:colOff>
      <xdr:row>34</xdr:row>
      <xdr:rowOff>161925</xdr:rowOff>
    </xdr:from>
    <xdr:to>
      <xdr:col>41</xdr:col>
      <xdr:colOff>628650</xdr:colOff>
      <xdr:row>53</xdr:row>
      <xdr:rowOff>104775</xdr:rowOff>
    </xdr:to>
    <xdr:sp macro="" textlink="">
      <xdr:nvSpPr>
        <xdr:cNvPr id="11" name="TextBox 10">
          <a:extLst>
            <a:ext uri="{FF2B5EF4-FFF2-40B4-BE49-F238E27FC236}">
              <a16:creationId xmlns:a16="http://schemas.microsoft.com/office/drawing/2014/main" id="{8F1782C0-2A64-4D7D-A86E-9FD425163358}"/>
            </a:ext>
          </a:extLst>
        </xdr:cNvPr>
        <xdr:cNvSpPr txBox="1"/>
      </xdr:nvSpPr>
      <xdr:spPr>
        <a:xfrm>
          <a:off x="44783375" y="8235950"/>
          <a:ext cx="3403600" cy="3638550"/>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Once identified, it is very important to communicate these selected operational controls and maintenance criteria</a:t>
          </a:r>
          <a:r>
            <a:rPr lang="en-US" sz="1100" baseline="0"/>
            <a:t> to the appropriate personnel. </a:t>
          </a:r>
        </a:p>
        <a:p>
          <a:endParaRPr lang="en-US" sz="1100" baseline="0"/>
        </a:p>
        <a:p>
          <a:r>
            <a:rPr lang="en-US" sz="1100" baseline="0"/>
            <a:t>Appropriate personnel should include operators and maintenance technicians for the equipment and systems designated as SEUs. This must include site personnel and contractors. Leadership for these personnel should also be in the loop for this.</a:t>
          </a:r>
        </a:p>
        <a:p>
          <a:endParaRPr lang="en-US" sz="1100" baseline="0"/>
        </a:p>
        <a:p>
          <a:r>
            <a:rPr lang="en-US" sz="1100" baseline="0"/>
            <a:t>Communications should include the operational controls and maintenance criteria identified in the previous columns of the planning worksheet, or basically who, what, when, where, how, how often, records, documentation, and response to signification deviations.</a:t>
          </a:r>
        </a:p>
        <a:p>
          <a:endParaRPr lang="en-US" sz="1100" baseline="0"/>
        </a:p>
        <a:p>
          <a:r>
            <a:rPr lang="en-US" sz="1100" baseline="0"/>
            <a:t>Any forms, log sheets, building automation systems, etc., that will be used should be included in these communications.</a:t>
          </a:r>
          <a:endParaRPr lang="en-US" sz="1100"/>
        </a:p>
      </xdr:txBody>
    </xdr:sp>
    <xdr:clientData/>
  </xdr:twoCellAnchor>
  <xdr:twoCellAnchor>
    <xdr:from>
      <xdr:col>46</xdr:col>
      <xdr:colOff>390525</xdr:colOff>
      <xdr:row>26</xdr:row>
      <xdr:rowOff>47625</xdr:rowOff>
    </xdr:from>
    <xdr:to>
      <xdr:col>50</xdr:col>
      <xdr:colOff>590550</xdr:colOff>
      <xdr:row>35</xdr:row>
      <xdr:rowOff>85725</xdr:rowOff>
    </xdr:to>
    <xdr:sp macro="" textlink="">
      <xdr:nvSpPr>
        <xdr:cNvPr id="12" name="TextBox 11">
          <a:extLst>
            <a:ext uri="{FF2B5EF4-FFF2-40B4-BE49-F238E27FC236}">
              <a16:creationId xmlns:a16="http://schemas.microsoft.com/office/drawing/2014/main" id="{728AD568-5FC2-4288-AAD2-1EF2813D7881}"/>
            </a:ext>
          </a:extLst>
        </xdr:cNvPr>
        <xdr:cNvSpPr txBox="1"/>
      </xdr:nvSpPr>
      <xdr:spPr>
        <a:xfrm>
          <a:off x="51193700" y="6664325"/>
          <a:ext cx="3937000" cy="1676400"/>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Closely tied to the communication</a:t>
          </a:r>
          <a:r>
            <a:rPr lang="en-US" sz="1100" baseline="0"/>
            <a:t> of operational controls and maintenance criteria are the implementation tools.</a:t>
          </a:r>
        </a:p>
        <a:p>
          <a:endParaRPr lang="en-US" sz="1100" baseline="0"/>
        </a:p>
        <a:p>
          <a:r>
            <a:rPr lang="en-US" sz="1100" baseline="0"/>
            <a:t>The energy team and the equipment operators, maintenance techs, and others should work together to develop and issue the forms, log sheets, building automation systems, etc., that will be used for monitoring and completing operational controls and maintenance criteria.</a:t>
          </a:r>
          <a:endParaRPr lang="en-US" sz="1100"/>
        </a:p>
      </xdr:txBody>
    </xdr:sp>
    <xdr:clientData/>
  </xdr:twoCellAnchor>
  <xdr:twoCellAnchor>
    <xdr:from>
      <xdr:col>55</xdr:col>
      <xdr:colOff>333375</xdr:colOff>
      <xdr:row>31</xdr:row>
      <xdr:rowOff>123826</xdr:rowOff>
    </xdr:from>
    <xdr:to>
      <xdr:col>59</xdr:col>
      <xdr:colOff>762000</xdr:colOff>
      <xdr:row>37</xdr:row>
      <xdr:rowOff>161925</xdr:rowOff>
    </xdr:to>
    <xdr:sp macro="" textlink="">
      <xdr:nvSpPr>
        <xdr:cNvPr id="13" name="TextBox 12">
          <a:extLst>
            <a:ext uri="{FF2B5EF4-FFF2-40B4-BE49-F238E27FC236}">
              <a16:creationId xmlns:a16="http://schemas.microsoft.com/office/drawing/2014/main" id="{5A48AFFC-8891-4F95-BAA8-1F0835320AB2}"/>
            </a:ext>
          </a:extLst>
        </xdr:cNvPr>
        <xdr:cNvSpPr txBox="1"/>
      </xdr:nvSpPr>
      <xdr:spPr>
        <a:xfrm>
          <a:off x="58832750" y="7654926"/>
          <a:ext cx="4508500" cy="1190624"/>
        </a:xfrm>
        <a:prstGeom prst="rect">
          <a:avLst/>
        </a:prstGeom>
        <a:solidFill>
          <a:srgbClr val="E5D993"/>
        </a:solidFill>
        <a:ln w="9525"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NOTE:</a:t>
          </a:r>
        </a:p>
        <a:p>
          <a:r>
            <a:rPr lang="en-US" sz="1100"/>
            <a:t>The key point here</a:t>
          </a:r>
          <a:r>
            <a:rPr lang="en-US" sz="1100" baseline="0"/>
            <a:t> are:</a:t>
          </a:r>
        </a:p>
        <a:p>
          <a:r>
            <a:rPr lang="en-US" sz="1100"/>
            <a:t> - Anticipate unplanned</a:t>
          </a:r>
          <a:r>
            <a:rPr lang="en-US" sz="1100" baseline="0"/>
            <a:t> </a:t>
          </a:r>
          <a:r>
            <a:rPr lang="en-US" sz="1100"/>
            <a:t>changes</a:t>
          </a:r>
          <a:r>
            <a:rPr lang="en-US" sz="1100" baseline="0"/>
            <a:t> that may occur and avoid these</a:t>
          </a:r>
        </a:p>
        <a:p>
          <a:r>
            <a:rPr lang="en-US" sz="1100" baseline="0"/>
            <a:t>- Train personnel NOT to randomly change critical operational control parameters without approval</a:t>
          </a:r>
        </a:p>
        <a:p>
          <a:r>
            <a:rPr lang="en-US" sz="1100" baseline="0"/>
            <a:t>- When changes are needed, follow the process for completing the change</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F245-B702-408F-A13B-3508722C29FD}">
  <dimension ref="A1:M6"/>
  <sheetViews>
    <sheetView tabSelected="1" workbookViewId="0">
      <selection activeCell="F2" sqref="F2"/>
    </sheetView>
  </sheetViews>
  <sheetFormatPr defaultColWidth="9.140625" defaultRowHeight="15" x14ac:dyDescent="0.25"/>
  <cols>
    <col min="1" max="8" width="3.5703125" customWidth="1"/>
    <col min="9" max="14" width="2.28515625" customWidth="1"/>
    <col min="15" max="50" width="4.140625" customWidth="1"/>
    <col min="51" max="67" width="3.5703125" customWidth="1"/>
    <col min="68" max="68" width="6.140625" customWidth="1"/>
  </cols>
  <sheetData>
    <row r="1" spans="1:13" s="1" customFormat="1" ht="36" x14ac:dyDescent="0.25">
      <c r="A1" s="722">
        <v>1</v>
      </c>
      <c r="B1" s="723"/>
      <c r="C1" s="724"/>
      <c r="D1" s="33" t="s">
        <v>1188</v>
      </c>
    </row>
    <row r="2" spans="1:13" s="1" customFormat="1" ht="23.25" x14ac:dyDescent="0.35">
      <c r="A2" s="725"/>
      <c r="B2" s="726"/>
      <c r="C2" s="727"/>
      <c r="F2" s="334" t="s">
        <v>1185</v>
      </c>
      <c r="G2" s="335"/>
      <c r="H2" s="335"/>
      <c r="I2" s="335"/>
      <c r="J2" s="335"/>
      <c r="K2" s="335"/>
      <c r="L2" s="335"/>
      <c r="M2" s="335"/>
    </row>
    <row r="3" spans="1:13" s="1" customFormat="1" x14ac:dyDescent="0.25">
      <c r="A3" s="728"/>
      <c r="B3" s="729"/>
      <c r="C3" s="730"/>
    </row>
    <row r="4" spans="1:13" s="1" customFormat="1" ht="31.5" x14ac:dyDescent="0.25">
      <c r="F4" s="35" t="s">
        <v>1186</v>
      </c>
    </row>
    <row r="5" spans="1:13" s="1" customFormat="1" x14ac:dyDescent="0.25"/>
    <row r="6" spans="1:13" ht="23.25" x14ac:dyDescent="0.25">
      <c r="J6" s="336" t="s">
        <v>1187</v>
      </c>
    </row>
  </sheetData>
  <mergeCells count="1">
    <mergeCell ref="A1:C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workbookViewId="0">
      <selection activeCell="J13" sqref="J13"/>
    </sheetView>
  </sheetViews>
  <sheetFormatPr defaultColWidth="9.140625" defaultRowHeight="15" x14ac:dyDescent="0.25"/>
  <cols>
    <col min="1" max="4" width="3.5703125" customWidth="1"/>
    <col min="5" max="5" width="14.28515625" customWidth="1"/>
    <col min="6" max="6" width="24" customWidth="1"/>
    <col min="7" max="9" width="19.140625" customWidth="1"/>
    <col min="10" max="10" width="16.5703125" customWidth="1"/>
    <col min="11" max="11" width="17.28515625" customWidth="1"/>
    <col min="12" max="12" width="13.5703125" customWidth="1"/>
    <col min="13" max="14" width="25.28515625" customWidth="1"/>
    <col min="15" max="15" width="9.5703125" customWidth="1"/>
    <col min="16" max="17" width="16.28515625" customWidth="1"/>
    <col min="18" max="19" width="23.28515625" customWidth="1"/>
    <col min="20" max="20" width="12.42578125" bestFit="1" customWidth="1"/>
    <col min="21" max="49" width="4.140625" customWidth="1"/>
    <col min="50" max="66" width="3.5703125" customWidth="1"/>
    <col min="67" max="67" width="6.140625" customWidth="1"/>
  </cols>
  <sheetData>
    <row r="1" spans="1:11" s="1" customFormat="1" ht="31.5" x14ac:dyDescent="0.5">
      <c r="A1" s="722">
        <v>5</v>
      </c>
      <c r="B1" s="723"/>
      <c r="C1" s="724"/>
      <c r="D1" s="151" t="s">
        <v>1179</v>
      </c>
    </row>
    <row r="2" spans="1:11" s="1" customFormat="1" ht="31.5" x14ac:dyDescent="0.25">
      <c r="A2" s="725"/>
      <c r="B2" s="726"/>
      <c r="C2" s="727"/>
      <c r="E2" s="158" t="s">
        <v>1178</v>
      </c>
    </row>
    <row r="3" spans="1:11" s="1" customFormat="1" x14ac:dyDescent="0.25">
      <c r="A3" s="728"/>
      <c r="B3" s="729"/>
      <c r="C3" s="730"/>
    </row>
    <row r="4" spans="1:11" s="1" customFormat="1" ht="31.5" x14ac:dyDescent="0.25">
      <c r="E4" s="59" t="s">
        <v>1055</v>
      </c>
      <c r="H4" s="158" t="s">
        <v>1056</v>
      </c>
    </row>
    <row r="5" spans="1:11" s="1" customFormat="1" x14ac:dyDescent="0.25"/>
    <row r="6" spans="1:11" ht="18.75" x14ac:dyDescent="0.3">
      <c r="D6" s="46" t="s">
        <v>1057</v>
      </c>
      <c r="E6" s="46"/>
      <c r="F6" s="46"/>
      <c r="G6" s="46"/>
      <c r="H6" s="46"/>
      <c r="I6" s="46"/>
    </row>
    <row r="7" spans="1:11" ht="18.75" x14ac:dyDescent="0.3">
      <c r="D7" s="46"/>
      <c r="E7" s="46" t="s">
        <v>1058</v>
      </c>
      <c r="F7" s="46"/>
      <c r="G7" s="46"/>
      <c r="H7" s="46"/>
      <c r="I7" s="46"/>
    </row>
    <row r="8" spans="1:11" ht="18.75" x14ac:dyDescent="0.3">
      <c r="D8" s="46"/>
      <c r="E8" s="46" t="s">
        <v>1181</v>
      </c>
      <c r="F8" s="46"/>
      <c r="G8" s="46"/>
      <c r="H8" s="46"/>
      <c r="I8" s="46"/>
    </row>
    <row r="9" spans="1:11" ht="18.75" x14ac:dyDescent="0.3">
      <c r="D9" s="46"/>
      <c r="E9" s="46"/>
      <c r="F9" s="46"/>
      <c r="G9" s="46"/>
      <c r="H9" s="46"/>
      <c r="I9" s="46"/>
    </row>
    <row r="10" spans="1:11" ht="26.25" x14ac:dyDescent="0.35">
      <c r="D10" s="46"/>
      <c r="E10" s="46"/>
      <c r="F10" s="49"/>
      <c r="G10" s="46"/>
      <c r="H10" s="46"/>
      <c r="I10" s="46"/>
      <c r="J10" s="160" t="s">
        <v>1059</v>
      </c>
    </row>
    <row r="11" spans="1:11" ht="18.75" x14ac:dyDescent="0.3">
      <c r="D11" s="46"/>
      <c r="E11" s="46"/>
      <c r="F11" s="27" t="s">
        <v>1060</v>
      </c>
      <c r="G11" s="46"/>
      <c r="H11" s="46"/>
      <c r="I11" s="46"/>
      <c r="J11" s="159" t="s">
        <v>1061</v>
      </c>
    </row>
    <row r="12" spans="1:11" ht="18.75" x14ac:dyDescent="0.3">
      <c r="D12" s="46"/>
      <c r="E12" s="46"/>
      <c r="G12" s="45" t="s">
        <v>1062</v>
      </c>
      <c r="H12" s="155">
        <f>'3C_Elec Equip Master'!I5</f>
        <v>62094611.051093683</v>
      </c>
      <c r="I12" s="34" t="s">
        <v>126</v>
      </c>
      <c r="J12" s="161">
        <f>H12*3412.14/1000000</f>
        <v>211875.50615187877</v>
      </c>
      <c r="K12" s="34" t="s">
        <v>201</v>
      </c>
    </row>
    <row r="13" spans="1:11" ht="18.75" x14ac:dyDescent="0.3">
      <c r="D13" s="46"/>
      <c r="E13" s="46"/>
      <c r="G13" s="45" t="s">
        <v>130</v>
      </c>
      <c r="H13" s="154">
        <f>'4_Utility Data'!Q133</f>
        <v>52686646.879999995</v>
      </c>
      <c r="I13" s="34" t="s">
        <v>126</v>
      </c>
      <c r="J13" s="162">
        <f>H13*3412.14/1000000</f>
        <v>179774.21528512318</v>
      </c>
      <c r="K13" s="34" t="s">
        <v>201</v>
      </c>
    </row>
    <row r="14" spans="1:11" ht="23.25" x14ac:dyDescent="0.3">
      <c r="D14" s="46"/>
      <c r="E14" s="46"/>
      <c r="G14" s="156">
        <v>2022</v>
      </c>
      <c r="H14" s="29"/>
      <c r="I14" s="27"/>
    </row>
    <row r="15" spans="1:11" ht="18.75" x14ac:dyDescent="0.3">
      <c r="D15" s="46"/>
      <c r="E15" s="46"/>
      <c r="G15" s="50" t="s">
        <v>145</v>
      </c>
      <c r="H15" s="152">
        <f>H12-H13</f>
        <v>9407964.1710936874</v>
      </c>
      <c r="I15" s="153">
        <f>H15/H13</f>
        <v>0.17856448888314011</v>
      </c>
    </row>
    <row r="16" spans="1:11" ht="18.75" x14ac:dyDescent="0.3">
      <c r="D16" s="46"/>
      <c r="E16" s="46"/>
      <c r="F16" s="46"/>
    </row>
    <row r="18" spans="6:10" ht="18.75" x14ac:dyDescent="0.25">
      <c r="F18" s="27" t="s">
        <v>1063</v>
      </c>
    </row>
    <row r="19" spans="6:10" ht="18.75" x14ac:dyDescent="0.25">
      <c r="G19" s="45" t="s">
        <v>1064</v>
      </c>
      <c r="H19" s="157">
        <f>'3D_Combustion Equip Master'!I5</f>
        <v>275251.12776144571</v>
      </c>
      <c r="I19" s="34" t="s">
        <v>201</v>
      </c>
    </row>
    <row r="20" spans="6:10" ht="18.75" x14ac:dyDescent="0.25">
      <c r="G20" s="45" t="s">
        <v>979</v>
      </c>
      <c r="H20" s="154">
        <f>'4_Utility Data'!I137</f>
        <v>279739.50552312197</v>
      </c>
      <c r="I20" s="34" t="s">
        <v>201</v>
      </c>
    </row>
    <row r="21" spans="6:10" ht="23.25" x14ac:dyDescent="0.25">
      <c r="G21" s="156">
        <v>2022</v>
      </c>
      <c r="H21" s="29"/>
      <c r="I21" s="27"/>
    </row>
    <row r="22" spans="6:10" ht="18.75" x14ac:dyDescent="0.25">
      <c r="G22" s="50" t="s">
        <v>145</v>
      </c>
      <c r="H22" s="152">
        <f>H19-H20</f>
        <v>-4488.3777616762673</v>
      </c>
      <c r="I22" s="153">
        <f>H22/H20</f>
        <v>-1.6044847699586997E-2</v>
      </c>
    </row>
    <row r="25" spans="6:10" ht="18.75" x14ac:dyDescent="0.25">
      <c r="F25" s="27" t="s">
        <v>1065</v>
      </c>
    </row>
    <row r="26" spans="6:10" ht="18.75" x14ac:dyDescent="0.25">
      <c r="G26" s="45" t="s">
        <v>1064</v>
      </c>
      <c r="H26" s="157">
        <f>'3D_Combustion Equip Master'!I4</f>
        <v>7962</v>
      </c>
      <c r="I26" s="34" t="s">
        <v>201</v>
      </c>
    </row>
    <row r="27" spans="6:10" ht="18.75" x14ac:dyDescent="0.25">
      <c r="G27" s="45" t="s">
        <v>1066</v>
      </c>
      <c r="H27" s="218">
        <v>7962</v>
      </c>
      <c r="I27" s="34" t="s">
        <v>201</v>
      </c>
      <c r="J27" t="s">
        <v>1067</v>
      </c>
    </row>
    <row r="28" spans="6:10" ht="23.25" x14ac:dyDescent="0.25">
      <c r="G28" s="156">
        <v>2022</v>
      </c>
      <c r="H28" s="29"/>
      <c r="I28" s="27"/>
    </row>
    <row r="29" spans="6:10" ht="18.75" x14ac:dyDescent="0.25">
      <c r="G29" s="50" t="s">
        <v>145</v>
      </c>
      <c r="H29" s="152">
        <f>H26-H27</f>
        <v>0</v>
      </c>
      <c r="I29" s="153">
        <f>H29/H27</f>
        <v>0</v>
      </c>
    </row>
    <row r="33" spans="7:9" ht="18.75" x14ac:dyDescent="0.25">
      <c r="G33" s="45" t="s">
        <v>1068</v>
      </c>
      <c r="H33" s="157">
        <f>J12+H19+H26</f>
        <v>495088.63391332445</v>
      </c>
      <c r="I33" s="34" t="s">
        <v>201</v>
      </c>
    </row>
    <row r="34" spans="7:9" ht="18.75" x14ac:dyDescent="0.25">
      <c r="G34" s="45" t="s">
        <v>1069</v>
      </c>
      <c r="H34" s="154">
        <f>J13+H20+H27</f>
        <v>467475.72080824513</v>
      </c>
      <c r="I34" s="34" t="s">
        <v>201</v>
      </c>
    </row>
    <row r="35" spans="7:9" ht="23.25" x14ac:dyDescent="0.25">
      <c r="G35" s="156">
        <v>2022</v>
      </c>
      <c r="H35" s="29"/>
      <c r="I35" s="27"/>
    </row>
    <row r="36" spans="7:9" ht="18.75" x14ac:dyDescent="0.25">
      <c r="G36" s="50" t="s">
        <v>1070</v>
      </c>
      <c r="H36" s="152">
        <f>H33-H34</f>
        <v>27612.913105079322</v>
      </c>
      <c r="I36" s="153">
        <f>H36/H34</f>
        <v>5.9068122420000341E-2</v>
      </c>
    </row>
  </sheetData>
  <mergeCells count="1">
    <mergeCell ref="A1:C3"/>
  </mergeCells>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0"/>
  <sheetViews>
    <sheetView topLeftCell="A18" zoomScale="80" zoomScaleNormal="80" workbookViewId="0">
      <selection activeCell="O47" sqref="O47"/>
    </sheetView>
  </sheetViews>
  <sheetFormatPr defaultColWidth="9.140625" defaultRowHeight="15" x14ac:dyDescent="0.25"/>
  <cols>
    <col min="1" max="6" width="3.5703125" customWidth="1"/>
    <col min="7" max="7" width="10" customWidth="1"/>
    <col min="8" max="8" width="7.5703125" customWidth="1"/>
    <col min="9" max="10" width="4" customWidth="1"/>
    <col min="11" max="11" width="3.5703125" customWidth="1"/>
    <col min="12" max="12" width="5.5703125" customWidth="1"/>
    <col min="13" max="14" width="16.7109375" customWidth="1"/>
    <col min="15" max="15" width="12" customWidth="1"/>
    <col min="16" max="16" width="7" customWidth="1"/>
    <col min="17" max="17" width="16.7109375" customWidth="1"/>
    <col min="18" max="20" width="3.42578125" customWidth="1"/>
    <col min="21" max="22" width="6" customWidth="1"/>
    <col min="23" max="44" width="3.42578125" customWidth="1"/>
    <col min="45" max="47" width="4" customWidth="1"/>
    <col min="48" max="67" width="3.5703125" customWidth="1"/>
    <col min="68" max="68" width="6.140625" customWidth="1"/>
  </cols>
  <sheetData>
    <row r="1" spans="1:18" s="1" customFormat="1" ht="31.5" x14ac:dyDescent="0.5">
      <c r="A1" s="722">
        <v>6</v>
      </c>
      <c r="B1" s="723"/>
      <c r="C1" s="724"/>
      <c r="D1" s="151" t="s">
        <v>1179</v>
      </c>
    </row>
    <row r="2" spans="1:18" s="1" customFormat="1" ht="31.5" x14ac:dyDescent="0.25">
      <c r="A2" s="725"/>
      <c r="B2" s="726"/>
      <c r="C2" s="727"/>
      <c r="E2" s="158" t="s">
        <v>1178</v>
      </c>
    </row>
    <row r="3" spans="1:18" s="1" customFormat="1" x14ac:dyDescent="0.25">
      <c r="A3" s="728"/>
      <c r="B3" s="729"/>
      <c r="C3" s="730"/>
    </row>
    <row r="4" spans="1:18" s="1" customFormat="1" ht="31.5" x14ac:dyDescent="0.25">
      <c r="F4" s="35" t="s">
        <v>1071</v>
      </c>
    </row>
    <row r="5" spans="1:18" s="1" customFormat="1" ht="26.25" x14ac:dyDescent="0.25">
      <c r="M5" s="47" t="s">
        <v>1072</v>
      </c>
    </row>
    <row r="7" spans="1:18" x14ac:dyDescent="0.25">
      <c r="D7" s="29"/>
      <c r="E7" s="29"/>
    </row>
    <row r="8" spans="1:18" x14ac:dyDescent="0.25">
      <c r="E8" s="29"/>
    </row>
    <row r="9" spans="1:18" ht="26.25" x14ac:dyDescent="0.25">
      <c r="E9" s="29"/>
      <c r="G9" s="61" t="s">
        <v>1073</v>
      </c>
      <c r="N9" s="225" t="s">
        <v>1074</v>
      </c>
    </row>
    <row r="10" spans="1:18" ht="18.75" x14ac:dyDescent="0.25">
      <c r="L10" s="50" t="s">
        <v>1075</v>
      </c>
      <c r="M10" s="40" t="s">
        <v>1076</v>
      </c>
      <c r="N10" s="226" t="s">
        <v>201</v>
      </c>
      <c r="O10" s="40" t="s">
        <v>1077</v>
      </c>
    </row>
    <row r="11" spans="1:18" x14ac:dyDescent="0.25">
      <c r="M11" s="29" t="s">
        <v>1078</v>
      </c>
      <c r="N11" s="37">
        <f>'3D_Combustion Equip Master'!AF101</f>
        <v>7769</v>
      </c>
      <c r="O11" s="223">
        <f>N11/$N$15</f>
        <v>1.6619044913322424E-2</v>
      </c>
    </row>
    <row r="12" spans="1:18" x14ac:dyDescent="0.25">
      <c r="L12" s="29"/>
      <c r="M12" s="29" t="s">
        <v>21</v>
      </c>
      <c r="N12" s="37">
        <f>'3D_Combustion Equip Master'!AF104</f>
        <v>193</v>
      </c>
      <c r="O12" s="200">
        <f>N12/$N$15</f>
        <v>4.1285566588637252E-4</v>
      </c>
      <c r="Q12" s="39"/>
    </row>
    <row r="13" spans="1:18" ht="18.75" x14ac:dyDescent="0.25">
      <c r="L13" s="86" t="s">
        <v>169</v>
      </c>
      <c r="M13" s="29" t="s">
        <v>82</v>
      </c>
      <c r="N13" s="37">
        <f>'5_Estimated vs Actual'!J13</f>
        <v>179774.21528512318</v>
      </c>
      <c r="O13" s="223">
        <f>N13/$N$15</f>
        <v>0.38456374798310683</v>
      </c>
      <c r="Q13" s="39">
        <f>'4_Utility Data'!Q97</f>
        <v>64779463.670000002</v>
      </c>
      <c r="R13" t="s">
        <v>1079</v>
      </c>
    </row>
    <row r="14" spans="1:18" x14ac:dyDescent="0.25">
      <c r="L14" s="29"/>
      <c r="M14" s="40" t="s">
        <v>15</v>
      </c>
      <c r="N14" s="41">
        <f>'5_Estimated vs Actual'!H20</f>
        <v>279739.50552312197</v>
      </c>
      <c r="O14" s="224">
        <f>N14/$N$15</f>
        <v>0.59840435143768445</v>
      </c>
      <c r="Q14" s="39" t="s">
        <v>1080</v>
      </c>
    </row>
    <row r="15" spans="1:18" x14ac:dyDescent="0.25">
      <c r="M15" s="29"/>
      <c r="N15" s="37">
        <f>SUM(N11:N14)</f>
        <v>467475.72080824513</v>
      </c>
      <c r="O15" s="200">
        <f>SUM(O11:O14)</f>
        <v>1</v>
      </c>
    </row>
    <row r="16" spans="1:18" x14ac:dyDescent="0.25">
      <c r="C16" s="29"/>
      <c r="D16" s="37"/>
      <c r="E16" s="29"/>
    </row>
    <row r="17" spans="3:17" x14ac:dyDescent="0.25">
      <c r="C17" s="29"/>
      <c r="D17" s="37"/>
      <c r="E17" s="29"/>
    </row>
    <row r="18" spans="3:17" x14ac:dyDescent="0.25">
      <c r="C18" s="29"/>
      <c r="D18" s="37"/>
      <c r="E18" s="29"/>
    </row>
    <row r="19" spans="3:17" x14ac:dyDescent="0.25">
      <c r="C19" s="29"/>
      <c r="D19" s="37"/>
      <c r="E19" s="29"/>
    </row>
    <row r="20" spans="3:17" x14ac:dyDescent="0.25">
      <c r="C20" s="29"/>
      <c r="D20" s="37"/>
      <c r="E20" s="29"/>
    </row>
    <row r="21" spans="3:17" ht="26.25" x14ac:dyDescent="0.25">
      <c r="C21" s="29"/>
      <c r="D21" s="37"/>
      <c r="E21" s="29"/>
      <c r="G21" s="61" t="s">
        <v>1081</v>
      </c>
      <c r="O21" s="231" t="s">
        <v>1082</v>
      </c>
    </row>
    <row r="22" spans="3:17" ht="18.75" x14ac:dyDescent="0.25">
      <c r="D22" s="37"/>
      <c r="E22" s="29"/>
      <c r="L22" s="50" t="s">
        <v>1083</v>
      </c>
      <c r="M22" s="219" t="s">
        <v>1084</v>
      </c>
      <c r="O22" s="62" t="s">
        <v>1085</v>
      </c>
    </row>
    <row r="23" spans="3:17" x14ac:dyDescent="0.25">
      <c r="O23" s="232" t="s">
        <v>1086</v>
      </c>
    </row>
    <row r="24" spans="3:17" x14ac:dyDescent="0.25">
      <c r="I24" s="2" t="s">
        <v>1087</v>
      </c>
      <c r="M24" s="38" t="s">
        <v>1088</v>
      </c>
      <c r="N24" s="38" t="s">
        <v>173</v>
      </c>
      <c r="O24" s="233" t="s">
        <v>1089</v>
      </c>
    </row>
    <row r="25" spans="3:17" x14ac:dyDescent="0.25">
      <c r="H25" s="29" t="s">
        <v>1090</v>
      </c>
      <c r="I25" s="53" t="s">
        <v>1091</v>
      </c>
      <c r="J25" s="53" t="s">
        <v>1092</v>
      </c>
      <c r="K25" s="53" t="s">
        <v>1024</v>
      </c>
      <c r="L25" s="53" t="s">
        <v>1093</v>
      </c>
      <c r="M25" s="42" t="s">
        <v>153</v>
      </c>
      <c r="N25" s="42" t="s">
        <v>154</v>
      </c>
      <c r="O25" s="234" t="s">
        <v>201</v>
      </c>
      <c r="P25" s="40" t="s">
        <v>1077</v>
      </c>
      <c r="Q25" s="40" t="s">
        <v>1094</v>
      </c>
    </row>
    <row r="26" spans="3:17" x14ac:dyDescent="0.25">
      <c r="H26" s="29">
        <v>1</v>
      </c>
      <c r="I26" s="53"/>
      <c r="J26" s="53" t="s">
        <v>1095</v>
      </c>
      <c r="K26" s="53"/>
      <c r="L26" s="53"/>
      <c r="M26" s="38" t="s">
        <v>290</v>
      </c>
      <c r="N26" s="38" t="s">
        <v>1096</v>
      </c>
      <c r="O26" s="57">
        <f>'3D_Combustion Equip Master'!AE115</f>
        <v>152846</v>
      </c>
      <c r="P26" s="223">
        <f t="shared" ref="P26:P44" si="0">O26/$O$47</f>
        <v>0.32595533964432938</v>
      </c>
      <c r="Q26" s="227" t="s">
        <v>1097</v>
      </c>
    </row>
    <row r="27" spans="3:17" x14ac:dyDescent="0.25">
      <c r="H27" s="29">
        <v>2</v>
      </c>
      <c r="I27" s="53" t="s">
        <v>1095</v>
      </c>
      <c r="J27" s="53" t="s">
        <v>1095</v>
      </c>
      <c r="K27" s="53"/>
      <c r="L27" s="53"/>
      <c r="M27" s="38" t="s">
        <v>211</v>
      </c>
      <c r="N27" s="38" t="s">
        <v>586</v>
      </c>
      <c r="O27" s="57">
        <f>'3C_Elec Equip Master'!AQ555+'3D_Combustion Equip Master'!AE113</f>
        <v>107786.28000000001</v>
      </c>
      <c r="P27" s="223">
        <f t="shared" si="0"/>
        <v>0.22986217177027068</v>
      </c>
      <c r="Q27" t="s">
        <v>1098</v>
      </c>
    </row>
    <row r="28" spans="3:17" x14ac:dyDescent="0.25">
      <c r="H28" s="29">
        <v>3</v>
      </c>
      <c r="I28" s="53" t="s">
        <v>1095</v>
      </c>
      <c r="J28" s="53"/>
      <c r="K28" s="53"/>
      <c r="L28" s="53"/>
      <c r="M28" s="38" t="s">
        <v>290</v>
      </c>
      <c r="N28" s="38" t="s">
        <v>1099</v>
      </c>
      <c r="O28" s="57">
        <f>'3C_Elec Equip Master'!AQ568</f>
        <v>48014</v>
      </c>
      <c r="P28" s="223">
        <f t="shared" si="0"/>
        <v>0.10239338731587892</v>
      </c>
      <c r="Q28" s="227" t="s">
        <v>1100</v>
      </c>
    </row>
    <row r="29" spans="3:17" x14ac:dyDescent="0.25">
      <c r="H29" s="29">
        <v>4</v>
      </c>
      <c r="I29" s="53" t="s">
        <v>1095</v>
      </c>
      <c r="J29" s="53"/>
      <c r="K29" s="53"/>
      <c r="L29" s="53"/>
      <c r="M29" s="38" t="s">
        <v>211</v>
      </c>
      <c r="N29" s="38" t="s">
        <v>248</v>
      </c>
      <c r="O29" s="57">
        <f>'3C_Elec Equip Master'!AQ565</f>
        <v>38086</v>
      </c>
      <c r="P29" s="223">
        <f t="shared" si="0"/>
        <v>8.1221196928241035E-2</v>
      </c>
      <c r="Q29" t="s">
        <v>1101</v>
      </c>
    </row>
    <row r="30" spans="3:17" x14ac:dyDescent="0.25">
      <c r="H30" s="29">
        <v>5</v>
      </c>
      <c r="I30" s="53" t="s">
        <v>1095</v>
      </c>
      <c r="J30" s="53"/>
      <c r="K30" s="53"/>
      <c r="L30" s="53"/>
      <c r="M30" s="38" t="s">
        <v>211</v>
      </c>
      <c r="N30" s="38" t="s">
        <v>212</v>
      </c>
      <c r="O30" s="57">
        <f>'3C_Elec Equip Master'!AQ556+'3C_Elec Equip Master'!AQ557</f>
        <v>37398</v>
      </c>
      <c r="P30" s="223">
        <f t="shared" si="0"/>
        <v>7.9753986313142844E-2</v>
      </c>
      <c r="Q30" t="s">
        <v>1102</v>
      </c>
    </row>
    <row r="31" spans="3:17" x14ac:dyDescent="0.25">
      <c r="H31" s="29">
        <v>6</v>
      </c>
      <c r="I31" s="53" t="s">
        <v>1095</v>
      </c>
      <c r="J31" s="53" t="s">
        <v>1095</v>
      </c>
      <c r="K31" s="53"/>
      <c r="L31" s="53"/>
      <c r="M31" s="38" t="s">
        <v>211</v>
      </c>
      <c r="N31" s="38" t="s">
        <v>220</v>
      </c>
      <c r="O31" s="57">
        <f>'3C_Elec Equip Master'!AQ562+'3C_Elec Equip Master'!AQ563+'3D_Combustion Equip Master'!AE116</f>
        <v>23817</v>
      </c>
      <c r="P31" s="223">
        <f t="shared" si="0"/>
        <v>5.0791504679932695E-2</v>
      </c>
      <c r="Q31" t="s">
        <v>1103</v>
      </c>
    </row>
    <row r="32" spans="3:17" x14ac:dyDescent="0.25">
      <c r="H32" s="29">
        <v>7</v>
      </c>
      <c r="I32" s="53" t="s">
        <v>1095</v>
      </c>
      <c r="J32" s="53"/>
      <c r="K32" s="53" t="s">
        <v>1095</v>
      </c>
      <c r="L32" s="53" t="s">
        <v>1095</v>
      </c>
      <c r="M32" s="38" t="s">
        <v>211</v>
      </c>
      <c r="N32" s="38" t="s">
        <v>226</v>
      </c>
      <c r="O32" s="57">
        <f>'3C_Elec Equip Master'!AQ572+'3D_Combustion Equip Master'!AE117+'3D_Combustion Equip Master'!AE118</f>
        <v>18100</v>
      </c>
      <c r="P32" s="223">
        <f t="shared" si="0"/>
        <v>3.8599581589065866E-2</v>
      </c>
      <c r="Q32" t="s">
        <v>1104</v>
      </c>
    </row>
    <row r="33" spans="8:17" x14ac:dyDescent="0.25">
      <c r="H33" s="29">
        <v>8</v>
      </c>
      <c r="I33" s="53" t="s">
        <v>1095</v>
      </c>
      <c r="J33" s="53" t="s">
        <v>1095</v>
      </c>
      <c r="K33" s="53"/>
      <c r="L33" s="53"/>
      <c r="M33" s="38" t="s">
        <v>211</v>
      </c>
      <c r="N33" s="38" t="s">
        <v>586</v>
      </c>
      <c r="O33" s="57">
        <f>'3C_Elec Equip Master'!AQ554+'3D_Combustion Equip Master'!AE112</f>
        <v>9372.7200000000012</v>
      </c>
      <c r="P33" s="223">
        <f t="shared" si="0"/>
        <v>1.9988014936545277E-2</v>
      </c>
      <c r="Q33" t="s">
        <v>1105</v>
      </c>
    </row>
    <row r="34" spans="8:17" x14ac:dyDescent="0.25">
      <c r="H34" s="29">
        <v>9</v>
      </c>
      <c r="I34" s="53" t="s">
        <v>1095</v>
      </c>
      <c r="J34" s="53"/>
      <c r="K34" s="53"/>
      <c r="L34" s="53"/>
      <c r="M34" s="38" t="s">
        <v>211</v>
      </c>
      <c r="N34" s="38" t="s">
        <v>239</v>
      </c>
      <c r="O34" s="57">
        <f>'3C_Elec Equip Master'!AQ558+'3C_Elec Equip Master'!AQ559</f>
        <v>9317</v>
      </c>
      <c r="P34" s="223">
        <f t="shared" si="0"/>
        <v>1.9869187937310868E-2</v>
      </c>
      <c r="Q34" t="s">
        <v>1106</v>
      </c>
    </row>
    <row r="35" spans="8:17" x14ac:dyDescent="0.25">
      <c r="H35" s="29">
        <v>10</v>
      </c>
      <c r="I35" s="53" t="s">
        <v>1095</v>
      </c>
      <c r="J35" s="53"/>
      <c r="K35" s="53"/>
      <c r="L35" s="53"/>
      <c r="M35" s="38" t="s">
        <v>211</v>
      </c>
      <c r="N35" s="38" t="s">
        <v>259</v>
      </c>
      <c r="O35" s="57">
        <f>'3C_Elec Equip Master'!AQ564</f>
        <v>7743</v>
      </c>
      <c r="P35" s="223">
        <f t="shared" si="0"/>
        <v>1.6512517140560058E-2</v>
      </c>
      <c r="Q35" t="s">
        <v>1107</v>
      </c>
    </row>
    <row r="36" spans="8:17" x14ac:dyDescent="0.25">
      <c r="H36" s="29">
        <v>11</v>
      </c>
      <c r="I36" s="53" t="s">
        <v>1095</v>
      </c>
      <c r="J36" s="53"/>
      <c r="K36" s="53"/>
      <c r="L36" s="53"/>
      <c r="M36" s="38" t="s">
        <v>290</v>
      </c>
      <c r="N36" s="38" t="s">
        <v>1108</v>
      </c>
      <c r="O36" s="57">
        <f>'3C_Elec Equip Master'!AQ569</f>
        <v>4548</v>
      </c>
      <c r="P36" s="223">
        <f t="shared" si="0"/>
        <v>9.6989445893409711E-3</v>
      </c>
      <c r="Q36" s="227" t="s">
        <v>1109</v>
      </c>
    </row>
    <row r="37" spans="8:17" x14ac:dyDescent="0.25">
      <c r="H37" s="29">
        <v>12</v>
      </c>
      <c r="I37" s="53" t="s">
        <v>1095</v>
      </c>
      <c r="J37" s="53"/>
      <c r="K37" s="53"/>
      <c r="L37" s="53"/>
      <c r="M37" s="38" t="s">
        <v>290</v>
      </c>
      <c r="N37" s="38" t="s">
        <v>1110</v>
      </c>
      <c r="O37" s="57">
        <f>'3C_Elec Equip Master'!AQ567</f>
        <v>2778</v>
      </c>
      <c r="P37" s="223">
        <f t="shared" si="0"/>
        <v>5.9242893731726509E-3</v>
      </c>
      <c r="Q37" s="227" t="s">
        <v>1111</v>
      </c>
    </row>
    <row r="38" spans="8:17" x14ac:dyDescent="0.25">
      <c r="H38" s="29">
        <v>13</v>
      </c>
      <c r="I38" s="53" t="s">
        <v>1095</v>
      </c>
      <c r="J38" s="53"/>
      <c r="K38" s="53"/>
      <c r="L38" s="53"/>
      <c r="M38" s="38" t="s">
        <v>211</v>
      </c>
      <c r="N38" s="38" t="s">
        <v>1112</v>
      </c>
      <c r="O38" s="57">
        <f>'3C_Elec Equip Master'!AQ560</f>
        <v>2676</v>
      </c>
      <c r="P38" s="223">
        <f t="shared" si="0"/>
        <v>5.70676686919007E-3</v>
      </c>
      <c r="Q38" t="s">
        <v>1113</v>
      </c>
    </row>
    <row r="39" spans="8:17" x14ac:dyDescent="0.25">
      <c r="H39" s="29">
        <v>14</v>
      </c>
      <c r="I39" s="53"/>
      <c r="J39" s="53" t="s">
        <v>1095</v>
      </c>
      <c r="K39" s="53"/>
      <c r="L39" s="53"/>
      <c r="M39" s="38" t="s">
        <v>290</v>
      </c>
      <c r="N39" s="38" t="s">
        <v>1114</v>
      </c>
      <c r="O39" s="57">
        <f>'3D_Combustion Equip Master'!AE119</f>
        <v>1968</v>
      </c>
      <c r="P39" s="223">
        <f t="shared" si="0"/>
        <v>4.1969047827227421E-3</v>
      </c>
      <c r="Q39" s="227" t="s">
        <v>1115</v>
      </c>
    </row>
    <row r="40" spans="8:17" x14ac:dyDescent="0.25">
      <c r="H40" s="29">
        <v>15</v>
      </c>
      <c r="I40" s="53" t="s">
        <v>1095</v>
      </c>
      <c r="J40" s="53"/>
      <c r="K40" s="53"/>
      <c r="L40" s="53"/>
      <c r="M40" s="38" t="s">
        <v>211</v>
      </c>
      <c r="N40" s="38" t="s">
        <v>1116</v>
      </c>
      <c r="O40" s="57">
        <f>'3C_Elec Equip Master'!AQ561</f>
        <v>1817</v>
      </c>
      <c r="P40" s="223">
        <f t="shared" si="0"/>
        <v>3.8748861738857835E-3</v>
      </c>
      <c r="Q40" t="s">
        <v>1117</v>
      </c>
    </row>
    <row r="41" spans="8:17" x14ac:dyDescent="0.25">
      <c r="H41" s="29">
        <v>16</v>
      </c>
      <c r="I41" s="53"/>
      <c r="J41" s="53" t="s">
        <v>1095</v>
      </c>
      <c r="K41" s="53"/>
      <c r="L41" s="53"/>
      <c r="M41" s="38" t="s">
        <v>211</v>
      </c>
      <c r="N41" s="38" t="s">
        <v>1003</v>
      </c>
      <c r="O41" s="57">
        <f>'3D_Combustion Equip Master'!AE114</f>
        <v>1282</v>
      </c>
      <c r="P41" s="223">
        <f t="shared" si="0"/>
        <v>2.733959314761461E-3</v>
      </c>
      <c r="Q41" t="s">
        <v>35</v>
      </c>
    </row>
    <row r="42" spans="8:17" x14ac:dyDescent="0.25">
      <c r="H42" s="29">
        <v>17</v>
      </c>
      <c r="I42" s="53" t="s">
        <v>1095</v>
      </c>
      <c r="J42" s="53"/>
      <c r="K42" s="53"/>
      <c r="L42" s="53"/>
      <c r="M42" s="38" t="s">
        <v>290</v>
      </c>
      <c r="N42" s="38" t="s">
        <v>1118</v>
      </c>
      <c r="O42" s="57">
        <f>'3C_Elec Equip Master'!AQ570</f>
        <v>968</v>
      </c>
      <c r="P42" s="223">
        <f t="shared" si="0"/>
        <v>2.0643312142660641E-3</v>
      </c>
      <c r="Q42" s="227" t="s">
        <v>1119</v>
      </c>
    </row>
    <row r="43" spans="8:17" x14ac:dyDescent="0.25">
      <c r="H43" s="29">
        <v>18</v>
      </c>
      <c r="I43" s="53" t="s">
        <v>1095</v>
      </c>
      <c r="J43" s="53"/>
      <c r="K43" s="53"/>
      <c r="L43" s="53"/>
      <c r="M43" s="38" t="s">
        <v>290</v>
      </c>
      <c r="N43" s="38" t="s">
        <v>1120</v>
      </c>
      <c r="O43" s="57">
        <f>'3C_Elec Equip Master'!AQ571</f>
        <v>294</v>
      </c>
      <c r="P43" s="223">
        <f t="shared" si="0"/>
        <v>6.2697662912626325E-4</v>
      </c>
      <c r="Q43" s="227" t="s">
        <v>1121</v>
      </c>
    </row>
    <row r="44" spans="8:17" x14ac:dyDescent="0.25">
      <c r="H44" s="29">
        <v>19</v>
      </c>
      <c r="I44" s="53" t="s">
        <v>1095</v>
      </c>
      <c r="J44" s="53"/>
      <c r="K44" s="53"/>
      <c r="L44" s="53"/>
      <c r="M44" s="38" t="s">
        <v>211</v>
      </c>
      <c r="N44" s="38" t="s">
        <v>849</v>
      </c>
      <c r="O44" s="57">
        <f>'3C_Elec Equip Master'!AQ566</f>
        <v>106</v>
      </c>
      <c r="P44" s="223">
        <f t="shared" si="0"/>
        <v>2.2605279825640786E-4</v>
      </c>
      <c r="Q44" t="s">
        <v>1122</v>
      </c>
    </row>
    <row r="45" spans="8:17" x14ac:dyDescent="0.25">
      <c r="H45" s="29">
        <v>20</v>
      </c>
      <c r="I45" s="53"/>
      <c r="J45" s="53"/>
      <c r="K45" s="53"/>
      <c r="L45" s="53"/>
      <c r="O45" s="29"/>
    </row>
    <row r="46" spans="8:17" x14ac:dyDescent="0.25">
      <c r="H46" s="29">
        <v>21</v>
      </c>
      <c r="I46" s="53"/>
      <c r="J46" s="53"/>
      <c r="K46" s="53"/>
      <c r="L46" s="53"/>
      <c r="M46" s="229"/>
      <c r="N46" s="217"/>
      <c r="O46" s="40"/>
      <c r="P46" s="217"/>
      <c r="Q46" s="217"/>
    </row>
    <row r="47" spans="8:17" x14ac:dyDescent="0.25">
      <c r="H47" s="29"/>
      <c r="N47" s="230"/>
      <c r="O47" s="37">
        <f>SUM(O26:O46)</f>
        <v>468917</v>
      </c>
      <c r="P47" s="222">
        <f>SUM(P26:P46)</f>
        <v>0.99999999999999978</v>
      </c>
    </row>
    <row r="48" spans="8:17" x14ac:dyDescent="0.25">
      <c r="H48" s="29"/>
      <c r="O48" s="37">
        <f>O47-'5_Estimated vs Actual'!H33</f>
        <v>-26171.633913324447</v>
      </c>
    </row>
    <row r="49" spans="15:17" x14ac:dyDescent="0.25">
      <c r="O49" s="29" t="s">
        <v>1123</v>
      </c>
    </row>
    <row r="50" spans="15:17" x14ac:dyDescent="0.25">
      <c r="Q50" t="s">
        <v>135</v>
      </c>
    </row>
    <row r="51" spans="15:17" x14ac:dyDescent="0.25">
      <c r="Q51" t="s">
        <v>135</v>
      </c>
    </row>
    <row r="52" spans="15:17" x14ac:dyDescent="0.25">
      <c r="Q52" t="s">
        <v>135</v>
      </c>
    </row>
    <row r="53" spans="15:17" x14ac:dyDescent="0.25">
      <c r="Q53" t="s">
        <v>135</v>
      </c>
    </row>
    <row r="54" spans="15:17" x14ac:dyDescent="0.25">
      <c r="Q54" t="s">
        <v>135</v>
      </c>
    </row>
    <row r="55" spans="15:17" x14ac:dyDescent="0.25">
      <c r="Q55" t="s">
        <v>135</v>
      </c>
    </row>
    <row r="56" spans="15:17" x14ac:dyDescent="0.25">
      <c r="Q56" t="s">
        <v>135</v>
      </c>
    </row>
    <row r="57" spans="15:17" x14ac:dyDescent="0.25">
      <c r="Q57" t="s">
        <v>135</v>
      </c>
    </row>
    <row r="58" spans="15:17" x14ac:dyDescent="0.25">
      <c r="Q58" t="s">
        <v>135</v>
      </c>
    </row>
    <row r="59" spans="15:17" x14ac:dyDescent="0.25">
      <c r="Q59" t="s">
        <v>135</v>
      </c>
    </row>
    <row r="60" spans="15:17" x14ac:dyDescent="0.25">
      <c r="Q60" t="s">
        <v>135</v>
      </c>
    </row>
    <row r="61" spans="15:17" x14ac:dyDescent="0.25">
      <c r="Q61" t="s">
        <v>135</v>
      </c>
    </row>
    <row r="62" spans="15:17" x14ac:dyDescent="0.25">
      <c r="Q62" t="s">
        <v>135</v>
      </c>
    </row>
    <row r="63" spans="15:17" x14ac:dyDescent="0.25">
      <c r="Q63" t="s">
        <v>135</v>
      </c>
    </row>
    <row r="64" spans="15:17" x14ac:dyDescent="0.25">
      <c r="Q64" t="s">
        <v>135</v>
      </c>
    </row>
    <row r="65" spans="17:17" x14ac:dyDescent="0.25">
      <c r="Q65" t="s">
        <v>135</v>
      </c>
    </row>
    <row r="66" spans="17:17" x14ac:dyDescent="0.25">
      <c r="Q66" t="s">
        <v>135</v>
      </c>
    </row>
    <row r="67" spans="17:17" x14ac:dyDescent="0.25">
      <c r="Q67" t="s">
        <v>135</v>
      </c>
    </row>
    <row r="68" spans="17:17" x14ac:dyDescent="0.25">
      <c r="Q68" t="s">
        <v>135</v>
      </c>
    </row>
    <row r="69" spans="17:17" x14ac:dyDescent="0.25">
      <c r="Q69" t="s">
        <v>135</v>
      </c>
    </row>
    <row r="70" spans="17:17" x14ac:dyDescent="0.25">
      <c r="Q70" t="s">
        <v>135</v>
      </c>
    </row>
    <row r="71" spans="17:17" x14ac:dyDescent="0.25">
      <c r="Q71" t="s">
        <v>135</v>
      </c>
    </row>
    <row r="72" spans="17:17" x14ac:dyDescent="0.25">
      <c r="Q72" t="s">
        <v>135</v>
      </c>
    </row>
    <row r="73" spans="17:17" x14ac:dyDescent="0.25">
      <c r="Q73" t="s">
        <v>135</v>
      </c>
    </row>
    <row r="74" spans="17:17" x14ac:dyDescent="0.25">
      <c r="Q74" t="s">
        <v>135</v>
      </c>
    </row>
    <row r="75" spans="17:17" x14ac:dyDescent="0.25">
      <c r="Q75" t="s">
        <v>135</v>
      </c>
    </row>
    <row r="76" spans="17:17" x14ac:dyDescent="0.25">
      <c r="Q76" t="s">
        <v>135</v>
      </c>
    </row>
    <row r="77" spans="17:17" x14ac:dyDescent="0.25">
      <c r="Q77" t="s">
        <v>135</v>
      </c>
    </row>
    <row r="78" spans="17:17" x14ac:dyDescent="0.25">
      <c r="Q78" t="s">
        <v>135</v>
      </c>
    </row>
    <row r="79" spans="17:17" x14ac:dyDescent="0.25">
      <c r="Q79" t="s">
        <v>135</v>
      </c>
    </row>
    <row r="80" spans="17:17" x14ac:dyDescent="0.25">
      <c r="Q80" t="s">
        <v>135</v>
      </c>
    </row>
    <row r="81" spans="17:17" x14ac:dyDescent="0.25">
      <c r="Q81" t="s">
        <v>135</v>
      </c>
    </row>
    <row r="82" spans="17:17" x14ac:dyDescent="0.25">
      <c r="Q82" t="s">
        <v>135</v>
      </c>
    </row>
    <row r="83" spans="17:17" x14ac:dyDescent="0.25">
      <c r="Q83" t="s">
        <v>135</v>
      </c>
    </row>
    <row r="84" spans="17:17" x14ac:dyDescent="0.25">
      <c r="Q84" t="s">
        <v>135</v>
      </c>
    </row>
    <row r="85" spans="17:17" x14ac:dyDescent="0.25">
      <c r="Q85" t="s">
        <v>135</v>
      </c>
    </row>
    <row r="86" spans="17:17" x14ac:dyDescent="0.25">
      <c r="Q86" t="s">
        <v>135</v>
      </c>
    </row>
    <row r="87" spans="17:17" x14ac:dyDescent="0.25">
      <c r="Q87" t="s">
        <v>135</v>
      </c>
    </row>
    <row r="88" spans="17:17" x14ac:dyDescent="0.25">
      <c r="Q88" t="s">
        <v>135</v>
      </c>
    </row>
    <row r="89" spans="17:17" x14ac:dyDescent="0.25">
      <c r="Q89" t="s">
        <v>135</v>
      </c>
    </row>
    <row r="90" spans="17:17" x14ac:dyDescent="0.25">
      <c r="Q90" t="s">
        <v>135</v>
      </c>
    </row>
    <row r="91" spans="17:17" x14ac:dyDescent="0.25">
      <c r="Q91" t="s">
        <v>135</v>
      </c>
    </row>
    <row r="92" spans="17:17" x14ac:dyDescent="0.25">
      <c r="Q92" t="s">
        <v>135</v>
      </c>
    </row>
    <row r="93" spans="17:17" x14ac:dyDescent="0.25">
      <c r="Q93" t="s">
        <v>135</v>
      </c>
    </row>
    <row r="94" spans="17:17" x14ac:dyDescent="0.25">
      <c r="Q94" t="s">
        <v>135</v>
      </c>
    </row>
    <row r="95" spans="17:17" x14ac:dyDescent="0.25">
      <c r="Q95" t="s">
        <v>135</v>
      </c>
    </row>
    <row r="96" spans="17:17" x14ac:dyDescent="0.25">
      <c r="Q96" t="s">
        <v>135</v>
      </c>
    </row>
    <row r="97" spans="17:17" x14ac:dyDescent="0.25">
      <c r="Q97" t="s">
        <v>135</v>
      </c>
    </row>
    <row r="98" spans="17:17" x14ac:dyDescent="0.25">
      <c r="Q98" t="s">
        <v>135</v>
      </c>
    </row>
    <row r="99" spans="17:17" x14ac:dyDescent="0.25">
      <c r="Q99" t="s">
        <v>135</v>
      </c>
    </row>
    <row r="100" spans="17:17" x14ac:dyDescent="0.25">
      <c r="Q100" t="s">
        <v>135</v>
      </c>
    </row>
  </sheetData>
  <sortState xmlns:xlrd2="http://schemas.microsoft.com/office/spreadsheetml/2017/richdata2" ref="I26:Q44">
    <sortCondition descending="1" ref="O26:O44"/>
  </sortState>
  <mergeCells count="1">
    <mergeCell ref="A1:C3"/>
  </mergeCells>
  <pageMargins left="0.7" right="0.7" top="0.75" bottom="0.75" header="0.3" footer="0.3"/>
  <pageSetup orientation="portrait" horizontalDpi="4294967293" vertic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0"/>
  <sheetViews>
    <sheetView topLeftCell="A6" zoomScale="87" zoomScaleNormal="87" workbookViewId="0">
      <selection activeCell="M15" sqref="M15"/>
    </sheetView>
  </sheetViews>
  <sheetFormatPr defaultRowHeight="15" x14ac:dyDescent="0.25"/>
  <cols>
    <col min="1" max="3" width="3.5703125" customWidth="1"/>
    <col min="4" max="4" width="25.85546875" customWidth="1"/>
    <col min="5" max="5" width="14" customWidth="1"/>
    <col min="6" max="9" width="8.42578125" customWidth="1"/>
    <col min="10" max="10" width="14.42578125" customWidth="1"/>
    <col min="11" max="11" width="15.140625" customWidth="1"/>
    <col min="12" max="12" width="15.7109375" customWidth="1"/>
    <col min="13" max="13" width="14.42578125" customWidth="1"/>
    <col min="14" max="14" width="15" customWidth="1"/>
    <col min="15" max="15" width="13.5703125" customWidth="1"/>
    <col min="16" max="16" width="8.7109375" customWidth="1"/>
    <col min="17" max="17" width="13.5703125" customWidth="1"/>
    <col min="18" max="18" width="11.28515625" customWidth="1"/>
    <col min="19" max="19" width="15.42578125" customWidth="1"/>
    <col min="20" max="20" width="7.42578125" customWidth="1"/>
    <col min="21" max="22" width="14.28515625" customWidth="1"/>
    <col min="23" max="24" width="6" customWidth="1"/>
    <col min="25" max="27" width="3.42578125" customWidth="1"/>
  </cols>
  <sheetData>
    <row r="1" spans="1:27" ht="31.5" x14ac:dyDescent="0.5">
      <c r="A1" s="722">
        <v>7</v>
      </c>
      <c r="B1" s="723"/>
      <c r="C1" s="724"/>
      <c r="D1" s="151" t="s">
        <v>1179</v>
      </c>
      <c r="E1" s="1"/>
      <c r="F1" s="1"/>
      <c r="G1" s="1"/>
      <c r="H1" s="1"/>
      <c r="I1" s="1"/>
      <c r="J1" s="1"/>
      <c r="K1" s="1"/>
      <c r="L1" s="1"/>
      <c r="M1" s="258" t="s">
        <v>1126</v>
      </c>
      <c r="N1" s="250" t="s">
        <v>1127</v>
      </c>
      <c r="O1" s="251" t="s">
        <v>1128</v>
      </c>
      <c r="P1" s="252"/>
      <c r="Q1" s="250" t="s">
        <v>1129</v>
      </c>
      <c r="R1" s="1"/>
      <c r="S1" s="1"/>
      <c r="T1" s="1"/>
      <c r="U1" s="1"/>
      <c r="V1" s="1"/>
      <c r="W1" s="1"/>
      <c r="X1" s="1"/>
      <c r="Y1" s="1"/>
      <c r="Z1" s="1"/>
      <c r="AA1" s="1"/>
    </row>
    <row r="2" spans="1:27" ht="31.5" x14ac:dyDescent="0.25">
      <c r="A2" s="725"/>
      <c r="B2" s="726"/>
      <c r="C2" s="727"/>
      <c r="D2" s="158" t="s">
        <v>1178</v>
      </c>
      <c r="F2" s="1"/>
      <c r="G2" s="1"/>
      <c r="H2" s="1"/>
      <c r="I2" s="1"/>
      <c r="J2" s="1"/>
      <c r="K2" s="1"/>
      <c r="L2" s="1"/>
      <c r="M2" s="1"/>
      <c r="N2" s="253" t="s">
        <v>1130</v>
      </c>
      <c r="O2" s="254"/>
      <c r="P2" s="254"/>
      <c r="Q2" s="254"/>
      <c r="R2" s="254"/>
      <c r="S2" s="255"/>
      <c r="T2" s="1"/>
      <c r="U2" s="1"/>
      <c r="V2" s="1"/>
      <c r="W2" s="1"/>
      <c r="X2" s="1"/>
      <c r="Y2" s="1"/>
      <c r="Z2" s="1"/>
      <c r="AA2" s="1"/>
    </row>
    <row r="3" spans="1:27" x14ac:dyDescent="0.25">
      <c r="A3" s="728"/>
      <c r="B3" s="729"/>
      <c r="C3" s="730"/>
      <c r="E3" s="1"/>
      <c r="F3" s="1"/>
      <c r="G3" s="1"/>
      <c r="H3" s="1"/>
      <c r="I3" s="1"/>
      <c r="J3" s="1"/>
      <c r="K3" s="1"/>
      <c r="L3" s="1"/>
      <c r="M3" s="1"/>
      <c r="N3" s="256" t="s">
        <v>1131</v>
      </c>
      <c r="O3" s="246"/>
      <c r="P3" s="246"/>
      <c r="Q3" s="246"/>
      <c r="R3" s="246"/>
      <c r="S3" s="247"/>
      <c r="T3" s="1"/>
      <c r="U3" s="1"/>
      <c r="V3" s="1"/>
      <c r="W3" s="1"/>
      <c r="X3" s="1"/>
      <c r="Y3" s="1"/>
      <c r="Z3" s="1"/>
      <c r="AA3" s="1"/>
    </row>
    <row r="4" spans="1:27" ht="31.5" x14ac:dyDescent="0.25">
      <c r="E4" s="35" t="s">
        <v>1132</v>
      </c>
      <c r="G4" s="1"/>
      <c r="H4" s="1"/>
      <c r="I4" s="1"/>
      <c r="J4" s="1"/>
      <c r="K4" s="1"/>
      <c r="L4" s="1"/>
      <c r="M4" s="1"/>
      <c r="N4" s="257" t="s">
        <v>1133</v>
      </c>
      <c r="O4" s="248"/>
      <c r="P4" s="248"/>
      <c r="Q4" s="248"/>
      <c r="R4" s="248"/>
      <c r="S4" s="249"/>
      <c r="T4" s="1"/>
      <c r="U4" s="1"/>
      <c r="V4" s="1"/>
      <c r="W4" s="1"/>
      <c r="X4" s="1"/>
      <c r="Y4" s="1"/>
      <c r="Z4" s="1"/>
      <c r="AA4" s="1"/>
    </row>
    <row r="5" spans="1:27" ht="26.25" x14ac:dyDescent="0.25">
      <c r="A5" s="1"/>
      <c r="E5" s="47" t="s">
        <v>1134</v>
      </c>
      <c r="F5" s="1"/>
      <c r="G5" s="1"/>
      <c r="I5" s="1"/>
      <c r="J5" s="1"/>
      <c r="K5" s="1"/>
      <c r="L5" s="1"/>
      <c r="M5" s="1"/>
      <c r="O5" s="1"/>
      <c r="U5" s="1"/>
      <c r="V5" s="1"/>
      <c r="W5" s="1"/>
      <c r="X5" s="1"/>
      <c r="Y5" s="1"/>
      <c r="Z5" s="1"/>
      <c r="AA5" s="1"/>
    </row>
    <row r="6" spans="1:27" ht="23.25" x14ac:dyDescent="0.35">
      <c r="F6" s="46" t="s">
        <v>1135</v>
      </c>
      <c r="J6" s="46"/>
      <c r="K6" s="46"/>
      <c r="O6" s="291"/>
      <c r="Q6" s="292" t="s">
        <v>1136</v>
      </c>
      <c r="R6" s="1"/>
      <c r="S6" s="1"/>
    </row>
    <row r="7" spans="1:27" ht="18.75" x14ac:dyDescent="0.3">
      <c r="F7" s="46" t="s">
        <v>1137</v>
      </c>
      <c r="J7" s="46"/>
      <c r="K7" s="46"/>
      <c r="P7" s="3" t="s">
        <v>1138</v>
      </c>
    </row>
    <row r="8" spans="1:27" ht="18.75" x14ac:dyDescent="0.3">
      <c r="I8" s="46"/>
      <c r="J8" s="46"/>
      <c r="K8" s="46"/>
      <c r="R8" s="198" t="s">
        <v>1139</v>
      </c>
      <c r="S8" s="87">
        <v>10</v>
      </c>
    </row>
    <row r="9" spans="1:27" ht="15.75" x14ac:dyDescent="0.25">
      <c r="K9" s="261"/>
      <c r="L9" s="266" t="s">
        <v>1140</v>
      </c>
      <c r="R9" s="198" t="s">
        <v>1141</v>
      </c>
      <c r="S9" s="87">
        <v>7</v>
      </c>
    </row>
    <row r="10" spans="1:27" ht="15.75" x14ac:dyDescent="0.25">
      <c r="E10" s="235" t="s">
        <v>1082</v>
      </c>
      <c r="K10" s="262"/>
      <c r="L10" s="138" t="s">
        <v>1142</v>
      </c>
      <c r="R10" s="198" t="s">
        <v>1143</v>
      </c>
      <c r="S10" s="87">
        <v>5</v>
      </c>
    </row>
    <row r="11" spans="1:27" ht="15.75" x14ac:dyDescent="0.25">
      <c r="E11" s="241" t="s">
        <v>1089</v>
      </c>
      <c r="R11" s="198" t="s">
        <v>1144</v>
      </c>
      <c r="S11" s="87">
        <v>2</v>
      </c>
    </row>
    <row r="12" spans="1:27" ht="18.75" x14ac:dyDescent="0.25">
      <c r="D12" s="29"/>
      <c r="E12" s="174" t="s">
        <v>1145</v>
      </c>
      <c r="F12" s="29"/>
      <c r="G12" s="29"/>
      <c r="H12" s="29"/>
      <c r="I12" s="29"/>
      <c r="J12" s="29"/>
      <c r="K12" s="27" t="s">
        <v>1146</v>
      </c>
      <c r="L12" s="259" t="s">
        <v>1147</v>
      </c>
      <c r="R12" s="198" t="s">
        <v>1148</v>
      </c>
      <c r="S12" s="87">
        <v>0.5</v>
      </c>
    </row>
    <row r="13" spans="1:27" ht="15.75" x14ac:dyDescent="0.25">
      <c r="C13" s="236"/>
      <c r="D13" s="87"/>
      <c r="E13" s="237" t="s">
        <v>1149</v>
      </c>
      <c r="F13" s="238" t="s">
        <v>1150</v>
      </c>
      <c r="G13" s="238"/>
      <c r="H13" s="238"/>
      <c r="I13" s="239"/>
      <c r="J13" s="242" t="s">
        <v>1149</v>
      </c>
      <c r="K13" s="263" t="s">
        <v>1149</v>
      </c>
      <c r="L13" s="265" t="s">
        <v>1151</v>
      </c>
      <c r="M13" s="244" t="s">
        <v>1086</v>
      </c>
      <c r="N13" s="268" t="s">
        <v>1152</v>
      </c>
      <c r="S13" s="29"/>
    </row>
    <row r="14" spans="1:27" ht="15.75" x14ac:dyDescent="0.25">
      <c r="C14" s="164" t="s">
        <v>1090</v>
      </c>
      <c r="D14" s="164" t="s">
        <v>1153</v>
      </c>
      <c r="E14" s="175" t="s">
        <v>1154</v>
      </c>
      <c r="F14" s="240" t="s">
        <v>1125</v>
      </c>
      <c r="G14" s="164" t="s">
        <v>1155</v>
      </c>
      <c r="H14" s="164" t="s">
        <v>1024</v>
      </c>
      <c r="I14" s="164" t="s">
        <v>83</v>
      </c>
      <c r="J14" s="243" t="s">
        <v>1156</v>
      </c>
      <c r="K14" s="264" t="s">
        <v>1157</v>
      </c>
      <c r="L14" s="260" t="s">
        <v>1157</v>
      </c>
      <c r="M14" s="245" t="s">
        <v>1158</v>
      </c>
      <c r="N14" s="269" t="s">
        <v>1159</v>
      </c>
      <c r="P14" s="236" t="s">
        <v>1160</v>
      </c>
      <c r="S14" s="29"/>
    </row>
    <row r="15" spans="1:27" ht="15.75" x14ac:dyDescent="0.25">
      <c r="C15" s="53">
        <v>1</v>
      </c>
      <c r="D15" s="329" t="str">
        <f>'6_Two Key Pies'!Q26</f>
        <v>Paint - OVENS</v>
      </c>
      <c r="E15" s="56">
        <f>'6_Two Key Pies'!O26</f>
        <v>152846</v>
      </c>
      <c r="F15" s="53" t="str">
        <f>IF('6_Two Key Pies'!I26="X", "X", "-")</f>
        <v>-</v>
      </c>
      <c r="G15" s="53" t="str">
        <f>IF('6_Two Key Pies'!J26="X", "X", "-")</f>
        <v>X</v>
      </c>
      <c r="H15" s="53" t="str">
        <f>IF('6_Two Key Pies'!K26="X", "X", "-")</f>
        <v>-</v>
      </c>
      <c r="I15" s="53" t="str">
        <f>IF('6_Two Key Pies'!L26="X", "X", "-")</f>
        <v>-</v>
      </c>
      <c r="J15" s="84">
        <f>'6_Two Key Pies'!P26</f>
        <v>0.32595533964432938</v>
      </c>
      <c r="K15" s="150">
        <f t="shared" ref="K15:K33" si="0">IF(J15&gt;20%,$S$8,(IF(J15&gt;15%,$S$9,(IF(J15&gt;10%,$S$10,(IF(J15&gt;1%,$S$11,$S$12)))))))</f>
        <v>10</v>
      </c>
      <c r="L15" s="267">
        <v>50</v>
      </c>
      <c r="M15" s="150">
        <f>K15*L15</f>
        <v>500</v>
      </c>
      <c r="N15" s="270">
        <v>1</v>
      </c>
      <c r="Q15" t="s">
        <v>1161</v>
      </c>
      <c r="S15" s="29"/>
    </row>
    <row r="16" spans="1:27" ht="15.75" x14ac:dyDescent="0.25">
      <c r="C16" s="53">
        <v>2</v>
      </c>
      <c r="D16" s="85" t="str">
        <f>'6_Two Key Pies'!Q27</f>
        <v>Boilers - PROCESS</v>
      </c>
      <c r="E16" s="56">
        <f>'6_Two Key Pies'!O27</f>
        <v>107786.28000000001</v>
      </c>
      <c r="F16" s="53" t="str">
        <f>IF('6_Two Key Pies'!I28="X", "X", "-")</f>
        <v>X</v>
      </c>
      <c r="G16" s="53" t="str">
        <f>IF('6_Two Key Pies'!J28="X", "X", "-")</f>
        <v>-</v>
      </c>
      <c r="H16" s="53" t="str">
        <f>IF('6_Two Key Pies'!K28="X", "X", "-")</f>
        <v>-</v>
      </c>
      <c r="I16" s="53" t="str">
        <f>IF('6_Two Key Pies'!L28="X", "X", "-")</f>
        <v>-</v>
      </c>
      <c r="J16" s="84">
        <f>'6_Two Key Pies'!P27</f>
        <v>0.22986217177027068</v>
      </c>
      <c r="K16" s="150">
        <f t="shared" si="0"/>
        <v>10</v>
      </c>
      <c r="L16" s="137">
        <v>50</v>
      </c>
      <c r="M16" s="150">
        <f t="shared" ref="M16:M33" si="1">K16*L16</f>
        <v>500</v>
      </c>
      <c r="N16" s="270">
        <v>1</v>
      </c>
      <c r="Q16" t="s">
        <v>1162</v>
      </c>
      <c r="S16" s="29"/>
    </row>
    <row r="17" spans="3:19" ht="14.65" customHeight="1" x14ac:dyDescent="0.25">
      <c r="C17" s="53">
        <v>3</v>
      </c>
      <c r="D17" s="329" t="str">
        <f>'6_Two Key Pies'!Q28</f>
        <v>Paint - FANS</v>
      </c>
      <c r="E17" s="56">
        <f>'6_Two Key Pies'!O28</f>
        <v>48014</v>
      </c>
      <c r="F17" s="53" t="str">
        <f>IF('6_Two Key Pies'!I29="X", "X", "-")</f>
        <v>X</v>
      </c>
      <c r="G17" s="53" t="str">
        <f>IF('6_Two Key Pies'!J29="X", "X", "-")</f>
        <v>-</v>
      </c>
      <c r="H17" s="53" t="str">
        <f>IF('6_Two Key Pies'!K29="X", "X", "-")</f>
        <v>-</v>
      </c>
      <c r="I17" s="53" t="str">
        <f>IF('6_Two Key Pies'!L29="X", "X", "-")</f>
        <v>-</v>
      </c>
      <c r="J17" s="84">
        <f>'6_Two Key Pies'!P28</f>
        <v>0.10239338731587892</v>
      </c>
      <c r="K17" s="150">
        <f t="shared" si="0"/>
        <v>5</v>
      </c>
      <c r="L17" s="137">
        <v>30</v>
      </c>
      <c r="M17" s="150">
        <f t="shared" si="1"/>
        <v>150</v>
      </c>
      <c r="N17" s="270">
        <v>2</v>
      </c>
      <c r="Q17" t="s">
        <v>1163</v>
      </c>
    </row>
    <row r="18" spans="3:19" ht="15.75" x14ac:dyDescent="0.25">
      <c r="C18" s="53">
        <v>4</v>
      </c>
      <c r="D18" s="85" t="str">
        <f>'6_Two Key Pies'!Q29</f>
        <v>Facility Pumping</v>
      </c>
      <c r="E18" s="56">
        <f>'6_Two Key Pies'!O29</f>
        <v>38086</v>
      </c>
      <c r="F18" s="53" t="str">
        <f>IF('6_Two Key Pies'!I30="X", "X", "-")</f>
        <v>X</v>
      </c>
      <c r="G18" s="53" t="str">
        <f>IF('6_Two Key Pies'!J30="X", "X", "-")</f>
        <v>-</v>
      </c>
      <c r="H18" s="53" t="str">
        <f>IF('6_Two Key Pies'!K30="X", "X", "-")</f>
        <v>-</v>
      </c>
      <c r="I18" s="53" t="str">
        <f>IF('6_Two Key Pies'!L30="X", "X", "-")</f>
        <v>-</v>
      </c>
      <c r="J18" s="84">
        <f>'6_Two Key Pies'!P29</f>
        <v>8.1221196928241035E-2</v>
      </c>
      <c r="K18" s="150">
        <f t="shared" si="0"/>
        <v>2</v>
      </c>
      <c r="L18" s="137">
        <v>30</v>
      </c>
      <c r="M18" s="150">
        <f t="shared" si="1"/>
        <v>60</v>
      </c>
      <c r="N18" s="270"/>
      <c r="Q18" t="s">
        <v>1164</v>
      </c>
    </row>
    <row r="19" spans="3:19" ht="15.75" x14ac:dyDescent="0.25">
      <c r="C19" s="53">
        <v>5</v>
      </c>
      <c r="D19" s="85" t="str">
        <f>'6_Two Key Pies'!Q30</f>
        <v>Facility Chillers</v>
      </c>
      <c r="E19" s="56">
        <f>'6_Two Key Pies'!O30</f>
        <v>37398</v>
      </c>
      <c r="F19" s="53" t="str">
        <f>IF('6_Two Key Pies'!I31="X", "X", "-")</f>
        <v>X</v>
      </c>
      <c r="G19" s="53" t="str">
        <f>IF('6_Two Key Pies'!J31="X", "X", "-")</f>
        <v>X</v>
      </c>
      <c r="H19" s="53" t="str">
        <f>IF('6_Two Key Pies'!K31="X", "X", "-")</f>
        <v>-</v>
      </c>
      <c r="I19" s="53" t="str">
        <f>IF('6_Two Key Pies'!L31="X", "X", "-")</f>
        <v>-</v>
      </c>
      <c r="J19" s="84">
        <f>'6_Two Key Pies'!P30</f>
        <v>7.9753986313142844E-2</v>
      </c>
      <c r="K19" s="150">
        <f t="shared" si="0"/>
        <v>2</v>
      </c>
      <c r="L19" s="137">
        <v>30</v>
      </c>
      <c r="M19" s="150">
        <f t="shared" si="1"/>
        <v>60</v>
      </c>
      <c r="N19" s="270"/>
      <c r="R19" s="28" t="s">
        <v>1165</v>
      </c>
      <c r="S19" s="87">
        <v>100</v>
      </c>
    </row>
    <row r="20" spans="3:19" ht="15.75" x14ac:dyDescent="0.25">
      <c r="C20" s="53">
        <v>6</v>
      </c>
      <c r="D20" s="85" t="str">
        <f>'6_Two Key Pies'!Q31</f>
        <v xml:space="preserve">Facility HVAC </v>
      </c>
      <c r="E20" s="56">
        <f>'6_Two Key Pies'!O31</f>
        <v>23817</v>
      </c>
      <c r="F20" s="53" t="str">
        <f>IF('6_Two Key Pies'!I32="X", "X", "-")</f>
        <v>X</v>
      </c>
      <c r="G20" s="53" t="str">
        <f>IF('6_Two Key Pies'!J32="X", "X", "-")</f>
        <v>-</v>
      </c>
      <c r="H20" s="53" t="str">
        <f>IF('6_Two Key Pies'!K32="X", "X", "-")</f>
        <v>X</v>
      </c>
      <c r="I20" s="53" t="str">
        <f>IF('6_Two Key Pies'!L32="X", "X", "-")</f>
        <v>X</v>
      </c>
      <c r="J20" s="84">
        <f>'6_Two Key Pies'!P31</f>
        <v>5.0791504679932695E-2</v>
      </c>
      <c r="K20" s="150">
        <f t="shared" si="0"/>
        <v>2</v>
      </c>
      <c r="L20" s="137">
        <v>50</v>
      </c>
      <c r="M20" s="150">
        <f t="shared" si="1"/>
        <v>100</v>
      </c>
      <c r="N20" s="270"/>
      <c r="R20" s="28" t="s">
        <v>1166</v>
      </c>
      <c r="S20" s="87">
        <v>70</v>
      </c>
    </row>
    <row r="21" spans="3:19" ht="15.75" x14ac:dyDescent="0.25">
      <c r="C21" s="53">
        <v>7</v>
      </c>
      <c r="D21" s="85" t="str">
        <f>'6_Two Key Pies'!Q32</f>
        <v>Facility Vehicles</v>
      </c>
      <c r="E21" s="56">
        <f>'6_Two Key Pies'!O32</f>
        <v>18100</v>
      </c>
      <c r="F21" s="53" t="str">
        <f>IF('6_Two Key Pies'!I33="X", "X", "-")</f>
        <v>X</v>
      </c>
      <c r="G21" s="53" t="str">
        <f>IF('6_Two Key Pies'!J33="X", "X", "-")</f>
        <v>X</v>
      </c>
      <c r="H21" s="53" t="str">
        <f>IF('6_Two Key Pies'!K33="X", "X", "-")</f>
        <v>-</v>
      </c>
      <c r="I21" s="53" t="str">
        <f>IF('6_Two Key Pies'!L33="X", "X", "-")</f>
        <v>-</v>
      </c>
      <c r="J21" s="84">
        <f>'6_Two Key Pies'!P32</f>
        <v>3.8599581589065866E-2</v>
      </c>
      <c r="K21" s="150">
        <f t="shared" si="0"/>
        <v>2</v>
      </c>
      <c r="L21" s="137">
        <v>30</v>
      </c>
      <c r="M21" s="150">
        <f t="shared" si="1"/>
        <v>60</v>
      </c>
      <c r="N21" s="270"/>
      <c r="R21" s="28" t="s">
        <v>1167</v>
      </c>
      <c r="S21" s="87">
        <v>50</v>
      </c>
    </row>
    <row r="22" spans="3:19" ht="15.75" x14ac:dyDescent="0.25">
      <c r="C22" s="53">
        <v>8</v>
      </c>
      <c r="D22" s="85" t="str">
        <f>'6_Two Key Pies'!Q33</f>
        <v>Boilers - COMFORT</v>
      </c>
      <c r="E22" s="56">
        <f>'6_Two Key Pies'!O33</f>
        <v>9372.7200000000012</v>
      </c>
      <c r="F22" s="53" t="str">
        <f>IF('6_Two Key Pies'!I34="X", "X", "-")</f>
        <v>X</v>
      </c>
      <c r="G22" s="53" t="str">
        <f>IF('6_Two Key Pies'!J34="X", "X", "-")</f>
        <v>-</v>
      </c>
      <c r="H22" s="53" t="str">
        <f>IF('6_Two Key Pies'!K34="X", "X", "-")</f>
        <v>-</v>
      </c>
      <c r="I22" s="53" t="str">
        <f>IF('6_Two Key Pies'!L34="X", "X", "-")</f>
        <v>-</v>
      </c>
      <c r="J22" s="84">
        <f>'6_Two Key Pies'!P33</f>
        <v>1.9988014936545277E-2</v>
      </c>
      <c r="K22" s="150">
        <f t="shared" si="0"/>
        <v>2</v>
      </c>
      <c r="L22" s="137">
        <v>50</v>
      </c>
      <c r="M22" s="150">
        <f t="shared" si="1"/>
        <v>100</v>
      </c>
      <c r="N22" s="270"/>
      <c r="R22" s="28" t="s">
        <v>1168</v>
      </c>
      <c r="S22" s="87">
        <v>30</v>
      </c>
    </row>
    <row r="23" spans="3:19" ht="15.75" x14ac:dyDescent="0.25">
      <c r="C23" s="53">
        <v>9</v>
      </c>
      <c r="D23" s="85" t="str">
        <f>'6_Two Key Pies'!Q34</f>
        <v>Facility Air Compressors</v>
      </c>
      <c r="E23" s="56">
        <f>'6_Two Key Pies'!O34</f>
        <v>9317</v>
      </c>
      <c r="F23" s="53" t="str">
        <f>IF('6_Two Key Pies'!I35="X", "X", "-")</f>
        <v>X</v>
      </c>
      <c r="G23" s="53" t="str">
        <f>IF('6_Two Key Pies'!J35="X", "X", "-")</f>
        <v>-</v>
      </c>
      <c r="H23" s="53" t="str">
        <f>IF('6_Two Key Pies'!K35="X", "X", "-")</f>
        <v>-</v>
      </c>
      <c r="I23" s="53" t="str">
        <f>IF('6_Two Key Pies'!L35="X", "X", "-")</f>
        <v>-</v>
      </c>
      <c r="J23" s="84">
        <f>'6_Two Key Pies'!P34</f>
        <v>1.9869187937310868E-2</v>
      </c>
      <c r="K23" s="150">
        <f t="shared" si="0"/>
        <v>2</v>
      </c>
      <c r="L23" s="137">
        <v>70</v>
      </c>
      <c r="M23" s="150">
        <f t="shared" si="1"/>
        <v>140</v>
      </c>
      <c r="N23" s="270">
        <v>3</v>
      </c>
      <c r="R23" s="28" t="s">
        <v>1169</v>
      </c>
      <c r="S23" s="87">
        <v>1</v>
      </c>
    </row>
    <row r="24" spans="3:19" ht="15.75" x14ac:dyDescent="0.25">
      <c r="C24" s="53">
        <v>10</v>
      </c>
      <c r="D24" s="85" t="str">
        <f>'6_Two Key Pies'!Q35</f>
        <v>Facility Lighting</v>
      </c>
      <c r="E24" s="56">
        <f>'6_Two Key Pies'!O35</f>
        <v>7743</v>
      </c>
      <c r="F24" s="53" t="str">
        <f>IF('6_Two Key Pies'!I36="X", "X", "-")</f>
        <v>X</v>
      </c>
      <c r="G24" s="53" t="str">
        <f>IF('6_Two Key Pies'!J36="X", "X", "-")</f>
        <v>-</v>
      </c>
      <c r="H24" s="53" t="str">
        <f>IF('6_Two Key Pies'!K36="X", "X", "-")</f>
        <v>-</v>
      </c>
      <c r="I24" s="53" t="str">
        <f>IF('6_Two Key Pies'!L36="X", "X", "-")</f>
        <v>-</v>
      </c>
      <c r="J24" s="84">
        <f>'6_Two Key Pies'!P35</f>
        <v>1.6512517140560058E-2</v>
      </c>
      <c r="K24" s="150">
        <v>2</v>
      </c>
      <c r="L24" s="137">
        <v>30</v>
      </c>
      <c r="M24" s="150">
        <f t="shared" si="1"/>
        <v>60</v>
      </c>
      <c r="N24" s="270"/>
    </row>
    <row r="25" spans="3:19" ht="15.75" x14ac:dyDescent="0.25">
      <c r="C25" s="53">
        <v>11</v>
      </c>
      <c r="D25" s="329" t="str">
        <f>'6_Two Key Pies'!Q36</f>
        <v>Paint-PUMPS</v>
      </c>
      <c r="E25" s="56">
        <f>'6_Two Key Pies'!O36</f>
        <v>4548</v>
      </c>
      <c r="F25" s="53" t="str">
        <f>IF('6_Two Key Pies'!I37="X", "X", "-")</f>
        <v>X</v>
      </c>
      <c r="G25" s="53" t="str">
        <f>IF('6_Two Key Pies'!J37="X", "X", "-")</f>
        <v>-</v>
      </c>
      <c r="H25" s="53" t="str">
        <f>IF('6_Two Key Pies'!K37="X", "X", "-")</f>
        <v>-</v>
      </c>
      <c r="I25" s="53" t="str">
        <f>IF('6_Two Key Pies'!L37="X", "X", "-")</f>
        <v>-</v>
      </c>
      <c r="J25" s="84">
        <f>'6_Two Key Pies'!P36</f>
        <v>9.6989445893409711E-3</v>
      </c>
      <c r="K25" s="150">
        <f t="shared" si="0"/>
        <v>0.5</v>
      </c>
      <c r="L25" s="137">
        <v>30</v>
      </c>
      <c r="M25" s="150">
        <f t="shared" si="1"/>
        <v>15</v>
      </c>
      <c r="N25" s="270"/>
    </row>
    <row r="26" spans="3:19" ht="15.75" x14ac:dyDescent="0.25">
      <c r="C26" s="53">
        <v>12</v>
      </c>
      <c r="D26" s="329" t="str">
        <f>'6_Two Key Pies'!Q37</f>
        <v>Paint - Oven Comb. Blowers</v>
      </c>
      <c r="E26" s="56">
        <f>'6_Two Key Pies'!O37</f>
        <v>2778</v>
      </c>
      <c r="F26" s="53" t="str">
        <f>IF('6_Two Key Pies'!I38="X", "X", "-")</f>
        <v>X</v>
      </c>
      <c r="G26" s="53" t="str">
        <f>IF('6_Two Key Pies'!J38="X", "X", "-")</f>
        <v>-</v>
      </c>
      <c r="H26" s="53" t="str">
        <f>IF('6_Two Key Pies'!K38="X", "X", "-")</f>
        <v>-</v>
      </c>
      <c r="I26" s="53" t="str">
        <f>IF('6_Two Key Pies'!L38="X", "X", "-")</f>
        <v>-</v>
      </c>
      <c r="J26" s="84">
        <f>'6_Two Key Pies'!P37</f>
        <v>5.9242893731726509E-3</v>
      </c>
      <c r="K26" s="150">
        <f t="shared" si="0"/>
        <v>0.5</v>
      </c>
      <c r="L26" s="137">
        <v>30</v>
      </c>
      <c r="M26" s="150">
        <f t="shared" si="1"/>
        <v>15</v>
      </c>
      <c r="N26" s="270"/>
    </row>
    <row r="27" spans="3:19" ht="15.75" x14ac:dyDescent="0.25">
      <c r="C27" s="53">
        <v>13</v>
      </c>
      <c r="D27" s="85" t="str">
        <f>'6_Two Key Pies'!Q38</f>
        <v>Facility Cooling Towers</v>
      </c>
      <c r="E27" s="56">
        <f>'6_Two Key Pies'!O38</f>
        <v>2676</v>
      </c>
      <c r="F27" s="53" t="str">
        <f>IF('6_Two Key Pies'!I39="X", "X", "-")</f>
        <v>-</v>
      </c>
      <c r="G27" s="53" t="str">
        <f>IF('6_Two Key Pies'!J39="X", "X", "-")</f>
        <v>X</v>
      </c>
      <c r="H27" s="53" t="str">
        <f>IF('6_Two Key Pies'!K39="X", "X", "-")</f>
        <v>-</v>
      </c>
      <c r="I27" s="53" t="str">
        <f>IF('6_Two Key Pies'!L39="X", "X", "-")</f>
        <v>-</v>
      </c>
      <c r="J27" s="84">
        <f>'6_Two Key Pies'!P38</f>
        <v>5.70676686919007E-3</v>
      </c>
      <c r="K27" s="150">
        <f t="shared" si="0"/>
        <v>0.5</v>
      </c>
      <c r="L27" s="137">
        <v>30</v>
      </c>
      <c r="M27" s="150">
        <f t="shared" si="1"/>
        <v>15</v>
      </c>
      <c r="N27" s="270"/>
    </row>
    <row r="28" spans="3:19" ht="15.75" x14ac:dyDescent="0.25">
      <c r="C28" s="53">
        <v>14</v>
      </c>
      <c r="D28" s="329" t="str">
        <f>'6_Two Key Pies'!Q39</f>
        <v>Paint - WASHERS</v>
      </c>
      <c r="E28" s="56">
        <f>'6_Two Key Pies'!O39</f>
        <v>1968</v>
      </c>
      <c r="F28" s="53" t="str">
        <f>IF('6_Two Key Pies'!I40="X", "X", "-")</f>
        <v>X</v>
      </c>
      <c r="G28" s="53" t="str">
        <f>IF('6_Two Key Pies'!J40="X", "X", "-")</f>
        <v>-</v>
      </c>
      <c r="H28" s="53" t="str">
        <f>IF('6_Two Key Pies'!K40="X", "X", "-")</f>
        <v>-</v>
      </c>
      <c r="I28" s="53" t="str">
        <f>IF('6_Two Key Pies'!L40="X", "X", "-")</f>
        <v>-</v>
      </c>
      <c r="J28" s="84">
        <f>'6_Two Key Pies'!P39</f>
        <v>4.1969047827227421E-3</v>
      </c>
      <c r="K28" s="150">
        <f t="shared" si="0"/>
        <v>0.5</v>
      </c>
      <c r="L28" s="137">
        <v>50</v>
      </c>
      <c r="M28" s="150">
        <f t="shared" si="1"/>
        <v>25</v>
      </c>
      <c r="N28" s="270"/>
    </row>
    <row r="29" spans="3:19" ht="15.75" x14ac:dyDescent="0.25">
      <c r="C29" s="53">
        <v>15</v>
      </c>
      <c r="D29" s="85" t="str">
        <f>'6_Two Key Pies'!Q40</f>
        <v>Facility Exh Fans</v>
      </c>
      <c r="E29" s="56">
        <f>'6_Two Key Pies'!O40</f>
        <v>1817</v>
      </c>
      <c r="F29" s="53" t="str">
        <f>IF('6_Two Key Pies'!I41="X", "X", "-")</f>
        <v>-</v>
      </c>
      <c r="G29" s="53" t="str">
        <f>IF('6_Two Key Pies'!J41="X", "X", "-")</f>
        <v>X</v>
      </c>
      <c r="H29" s="53" t="str">
        <f>IF('6_Two Key Pies'!K41="X", "X", "-")</f>
        <v>-</v>
      </c>
      <c r="I29" s="53" t="str">
        <f>IF('6_Two Key Pies'!L41="X", "X", "-")</f>
        <v>-</v>
      </c>
      <c r="J29" s="84">
        <f>'6_Two Key Pies'!P40</f>
        <v>3.8748861738857835E-3</v>
      </c>
      <c r="K29" s="150">
        <f t="shared" si="0"/>
        <v>0.5</v>
      </c>
      <c r="L29" s="137">
        <v>50</v>
      </c>
      <c r="M29" s="150">
        <f t="shared" si="1"/>
        <v>25</v>
      </c>
      <c r="N29" s="270"/>
    </row>
    <row r="30" spans="3:19" ht="15.75" x14ac:dyDescent="0.25">
      <c r="C30" s="53">
        <v>16</v>
      </c>
      <c r="D30" s="85" t="str">
        <f>'6_Two Key Pies'!Q41</f>
        <v>Hot Water</v>
      </c>
      <c r="E30" s="56">
        <f>'6_Two Key Pies'!O41</f>
        <v>1282</v>
      </c>
      <c r="F30" s="53" t="str">
        <f>IF('6_Two Key Pies'!I42="X", "X", "-")</f>
        <v>X</v>
      </c>
      <c r="G30" s="53" t="str">
        <f>IF('6_Two Key Pies'!J42="X", "X", "-")</f>
        <v>-</v>
      </c>
      <c r="H30" s="53" t="str">
        <f>IF('6_Two Key Pies'!K42="X", "X", "-")</f>
        <v>-</v>
      </c>
      <c r="I30" s="53" t="str">
        <f>IF('6_Two Key Pies'!L42="X", "X", "-")</f>
        <v>-</v>
      </c>
      <c r="J30" s="84">
        <f>'6_Two Key Pies'!P41</f>
        <v>2.733959314761461E-3</v>
      </c>
      <c r="K30" s="150">
        <f t="shared" si="0"/>
        <v>0.5</v>
      </c>
      <c r="L30" s="137">
        <v>30</v>
      </c>
      <c r="M30" s="150">
        <f t="shared" si="1"/>
        <v>15</v>
      </c>
      <c r="N30" s="270"/>
    </row>
    <row r="31" spans="3:19" ht="15.75" x14ac:dyDescent="0.25">
      <c r="C31" s="53">
        <v>17</v>
      </c>
      <c r="D31" s="329" t="str">
        <f>'6_Two Key Pies'!Q42</f>
        <v>Paint - IR OVENS</v>
      </c>
      <c r="E31" s="56">
        <f>'6_Two Key Pies'!O42</f>
        <v>968</v>
      </c>
      <c r="F31" s="53" t="str">
        <f>IF('6_Two Key Pies'!I43="X", "X", "-")</f>
        <v>X</v>
      </c>
      <c r="G31" s="53" t="str">
        <f>IF('6_Two Key Pies'!J43="X", "X", "-")</f>
        <v>-</v>
      </c>
      <c r="H31" s="53" t="str">
        <f>IF('6_Two Key Pies'!K43="X", "X", "-")</f>
        <v>-</v>
      </c>
      <c r="I31" s="53" t="str">
        <f>IF('6_Two Key Pies'!L43="X", "X", "-")</f>
        <v>-</v>
      </c>
      <c r="J31" s="84">
        <f>'6_Two Key Pies'!P42</f>
        <v>2.0643312142660641E-3</v>
      </c>
      <c r="K31" s="150">
        <f t="shared" si="0"/>
        <v>0.5</v>
      </c>
      <c r="L31" s="137">
        <v>30</v>
      </c>
      <c r="M31" s="150">
        <f t="shared" si="1"/>
        <v>15</v>
      </c>
      <c r="N31" s="270"/>
    </row>
    <row r="32" spans="3:19" ht="15.75" x14ac:dyDescent="0.25">
      <c r="C32" s="53">
        <v>18</v>
      </c>
      <c r="D32" s="329" t="str">
        <f>'6_Two Key Pies'!Q43</f>
        <v>Paint - ROBOTS</v>
      </c>
      <c r="E32" s="56">
        <f>'6_Two Key Pies'!O43</f>
        <v>294</v>
      </c>
      <c r="F32" s="53" t="str">
        <f>IF('6_Two Key Pies'!I44="X", "X", "-")</f>
        <v>X</v>
      </c>
      <c r="G32" s="53" t="str">
        <f>IF('6_Two Key Pies'!J44="X", "X", "-")</f>
        <v>-</v>
      </c>
      <c r="H32" s="53" t="str">
        <f>IF('6_Two Key Pies'!K44="X", "X", "-")</f>
        <v>-</v>
      </c>
      <c r="I32" s="53" t="str">
        <f>IF('6_Two Key Pies'!L44="X", "X", "-")</f>
        <v>-</v>
      </c>
      <c r="J32" s="84">
        <f>'6_Two Key Pies'!P43</f>
        <v>6.2697662912626325E-4</v>
      </c>
      <c r="K32" s="150">
        <f t="shared" si="0"/>
        <v>0.5</v>
      </c>
      <c r="L32" s="137">
        <v>30</v>
      </c>
      <c r="M32" s="150">
        <f t="shared" si="1"/>
        <v>15</v>
      </c>
      <c r="N32" s="270"/>
    </row>
    <row r="33" spans="3:14" ht="15.75" x14ac:dyDescent="0.25">
      <c r="C33" s="53">
        <v>19</v>
      </c>
      <c r="D33" s="85" t="str">
        <f>'6_Two Key Pies'!Q44</f>
        <v>Facility WWTP</v>
      </c>
      <c r="E33" s="56">
        <f>'6_Two Key Pies'!O44</f>
        <v>106</v>
      </c>
      <c r="F33" s="53" t="str">
        <f>IF('6_Two Key Pies'!I45="X", "X", "-")</f>
        <v>-</v>
      </c>
      <c r="G33" s="53" t="str">
        <f>IF('6_Two Key Pies'!J45="X", "X", "-")</f>
        <v>-</v>
      </c>
      <c r="H33" s="53" t="str">
        <f>IF('6_Two Key Pies'!K45="X", "X", "-")</f>
        <v>-</v>
      </c>
      <c r="I33" s="53" t="str">
        <f>IF('6_Two Key Pies'!L45="X", "X", "-")</f>
        <v>-</v>
      </c>
      <c r="J33" s="84">
        <f>'6_Two Key Pies'!P44</f>
        <v>2.2605279825640786E-4</v>
      </c>
      <c r="K33" s="150">
        <f t="shared" si="0"/>
        <v>0.5</v>
      </c>
      <c r="L33" s="137">
        <v>30</v>
      </c>
      <c r="M33" s="150">
        <f t="shared" si="1"/>
        <v>15</v>
      </c>
      <c r="N33" s="270"/>
    </row>
    <row r="34" spans="3:14" ht="15.75" x14ac:dyDescent="0.25">
      <c r="C34" s="53">
        <v>20</v>
      </c>
      <c r="D34" s="85"/>
      <c r="E34" s="56">
        <f>'6_Two Key Pies'!O46</f>
        <v>0</v>
      </c>
      <c r="F34" s="53" t="str">
        <f>IF('6_Two Key Pies'!I46="X", "X", "-")</f>
        <v>-</v>
      </c>
      <c r="G34" s="53" t="str">
        <f>IF('6_Two Key Pies'!J46="X", "X", "-")</f>
        <v>-</v>
      </c>
      <c r="H34" s="53" t="str">
        <f>IF('6_Two Key Pies'!K46="X", "X", "-")</f>
        <v>-</v>
      </c>
      <c r="I34" s="53" t="str">
        <f>IF('6_Two Key Pies'!L46="X", "X", "-")</f>
        <v>-</v>
      </c>
      <c r="J34" s="84">
        <f>'6_Two Key Pies'!P45</f>
        <v>0</v>
      </c>
      <c r="K34" s="150"/>
      <c r="L34" s="137"/>
      <c r="M34" s="150"/>
      <c r="N34" s="270"/>
    </row>
    <row r="35" spans="3:14" x14ac:dyDescent="0.25">
      <c r="D35" s="29"/>
      <c r="E35" s="57">
        <f>SUM(E15:E34)</f>
        <v>468917</v>
      </c>
      <c r="F35" s="29"/>
      <c r="G35" s="29"/>
      <c r="H35" s="29"/>
      <c r="I35" s="29"/>
      <c r="J35" s="223">
        <f>SUM(J15:J34)</f>
        <v>0.99999999999999978</v>
      </c>
      <c r="K35" s="29"/>
      <c r="L35" s="29"/>
    </row>
    <row r="36" spans="3:14" x14ac:dyDescent="0.25">
      <c r="D36" s="29"/>
      <c r="E36" s="29" t="s">
        <v>1170</v>
      </c>
      <c r="F36" s="29"/>
      <c r="G36" s="29"/>
      <c r="H36" s="29"/>
      <c r="I36" s="29"/>
      <c r="J36" s="29" t="s">
        <v>1170</v>
      </c>
      <c r="K36" s="29"/>
      <c r="L36" s="29"/>
    </row>
    <row r="37" spans="3:14" x14ac:dyDescent="0.25">
      <c r="D37" s="29"/>
      <c r="E37" s="29"/>
      <c r="F37" s="29"/>
      <c r="G37" s="29"/>
      <c r="H37" s="29"/>
      <c r="I37" s="29"/>
      <c r="J37" s="29"/>
      <c r="K37" s="29"/>
      <c r="L37" s="29"/>
    </row>
    <row r="38" spans="3:14" x14ac:dyDescent="0.25">
      <c r="D38" s="29"/>
      <c r="E38" s="29"/>
      <c r="F38" s="29"/>
      <c r="G38" s="29"/>
      <c r="H38" s="29"/>
      <c r="I38" s="29"/>
      <c r="J38" s="29"/>
      <c r="K38" s="29"/>
      <c r="L38" s="29"/>
    </row>
    <row r="39" spans="3:14" s="48" customFormat="1" ht="33.75" x14ac:dyDescent="0.35">
      <c r="D39" s="271"/>
      <c r="F39" s="275" t="s">
        <v>1171</v>
      </c>
      <c r="G39" s="276"/>
      <c r="H39" s="276"/>
      <c r="I39" s="277"/>
      <c r="J39" s="271"/>
      <c r="K39" s="271"/>
      <c r="L39" s="271"/>
    </row>
    <row r="40" spans="3:14" s="48" customFormat="1" ht="21" x14ac:dyDescent="0.35">
      <c r="F40" s="278">
        <v>1</v>
      </c>
      <c r="G40" s="330" t="s">
        <v>1172</v>
      </c>
      <c r="H40" s="331"/>
      <c r="I40" s="331"/>
      <c r="J40" s="331"/>
      <c r="K40" s="331"/>
      <c r="L40" s="332"/>
      <c r="M40" s="333">
        <f>J15+J17+J25+J26+J28++J31+J32</f>
        <v>0.45086017354883695</v>
      </c>
      <c r="N40" s="48" t="s">
        <v>1173</v>
      </c>
    </row>
    <row r="41" spans="3:14" s="48" customFormat="1" ht="21" x14ac:dyDescent="0.35">
      <c r="F41" s="278">
        <v>2</v>
      </c>
      <c r="G41" s="272" t="s">
        <v>1174</v>
      </c>
      <c r="H41" s="273"/>
      <c r="I41" s="273"/>
      <c r="J41" s="273"/>
      <c r="K41" s="273"/>
      <c r="L41" s="274"/>
    </row>
    <row r="42" spans="3:14" s="48" customFormat="1" ht="21" x14ac:dyDescent="0.35">
      <c r="F42" s="278">
        <v>3</v>
      </c>
      <c r="G42" s="272" t="s">
        <v>1175</v>
      </c>
      <c r="H42" s="273"/>
      <c r="I42" s="273"/>
      <c r="J42" s="273"/>
      <c r="K42" s="273"/>
      <c r="L42" s="274"/>
    </row>
    <row r="43" spans="3:14" s="48" customFormat="1" ht="23.25" x14ac:dyDescent="0.35">
      <c r="E43" s="279" t="s">
        <v>1176</v>
      </c>
      <c r="F43" s="280" t="s">
        <v>1177</v>
      </c>
    </row>
    <row r="50" spans="4:6" x14ac:dyDescent="0.25">
      <c r="D50" s="293"/>
      <c r="E50" s="294"/>
      <c r="F50" s="294"/>
    </row>
  </sheetData>
  <sortState xmlns:xlrd2="http://schemas.microsoft.com/office/spreadsheetml/2017/richdata2" ref="M12:Y25">
    <sortCondition descending="1" ref="U12:U25"/>
  </sortState>
  <mergeCells count="1">
    <mergeCell ref="A1:C3"/>
  </mergeCells>
  <pageMargins left="0.7" right="0.7" top="0.75" bottom="0.75" header="0.3" footer="0.3"/>
  <pageSetup orientation="portrait" horizontalDpi="4294967293" vertic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F7EA-3177-4126-BE64-DAFD8A1587AB}">
  <dimension ref="A1:M25"/>
  <sheetViews>
    <sheetView topLeftCell="A16" workbookViewId="0">
      <selection activeCell="G17" sqref="G17"/>
    </sheetView>
  </sheetViews>
  <sheetFormatPr defaultRowHeight="15" x14ac:dyDescent="0.25"/>
  <cols>
    <col min="1" max="2" width="4" customWidth="1"/>
    <col min="3" max="3" width="5.85546875" customWidth="1"/>
    <col min="4" max="4" width="12.7109375" customWidth="1"/>
    <col min="5" max="5" width="19" customWidth="1"/>
    <col min="6" max="6" width="21.42578125" customWidth="1"/>
    <col min="7" max="7" width="72.5703125" customWidth="1"/>
    <col min="8" max="8" width="77.5703125" customWidth="1"/>
  </cols>
  <sheetData>
    <row r="1" spans="1:13" ht="31.5" x14ac:dyDescent="0.5">
      <c r="A1" s="722" t="s">
        <v>1361</v>
      </c>
      <c r="B1" s="723"/>
      <c r="C1" s="724"/>
      <c r="D1" s="151" t="s">
        <v>1362</v>
      </c>
      <c r="E1" s="1"/>
      <c r="F1" s="1"/>
      <c r="G1" s="465" t="s">
        <v>1363</v>
      </c>
      <c r="H1" s="1"/>
      <c r="I1" s="1"/>
      <c r="J1" s="1"/>
      <c r="K1" s="1"/>
    </row>
    <row r="2" spans="1:13" ht="36" x14ac:dyDescent="0.25">
      <c r="A2" s="725"/>
      <c r="B2" s="726"/>
      <c r="C2" s="727"/>
      <c r="D2" s="1"/>
      <c r="E2" s="33"/>
      <c r="F2" s="1"/>
      <c r="G2" s="1"/>
      <c r="H2" s="1"/>
      <c r="I2" s="1"/>
      <c r="J2" s="1"/>
      <c r="K2" s="1"/>
    </row>
    <row r="3" spans="1:13" x14ac:dyDescent="0.25">
      <c r="A3" s="728"/>
      <c r="B3" s="729"/>
      <c r="C3" s="730"/>
      <c r="E3" s="1"/>
      <c r="F3" s="1"/>
      <c r="G3" s="1"/>
      <c r="H3" s="1"/>
      <c r="I3" s="1"/>
      <c r="J3" s="1"/>
      <c r="K3" s="1"/>
    </row>
    <row r="4" spans="1:13" ht="31.5" x14ac:dyDescent="0.25">
      <c r="E4" s="35" t="s">
        <v>1364</v>
      </c>
      <c r="G4" s="1"/>
      <c r="H4" s="1"/>
      <c r="I4" s="1"/>
      <c r="J4" s="1"/>
      <c r="K4" s="1"/>
    </row>
    <row r="6" spans="1:13" ht="36" x14ac:dyDescent="0.55000000000000004">
      <c r="E6" s="466" t="s">
        <v>1365</v>
      </c>
      <c r="H6" s="231" t="s">
        <v>1366</v>
      </c>
    </row>
    <row r="7" spans="1:13" ht="15.75" x14ac:dyDescent="0.25">
      <c r="E7" s="467" t="s">
        <v>1367</v>
      </c>
    </row>
    <row r="8" spans="1:13" ht="15.75" x14ac:dyDescent="0.25">
      <c r="E8" s="467" t="s">
        <v>1368</v>
      </c>
    </row>
    <row r="10" spans="1:13" x14ac:dyDescent="0.25">
      <c r="E10" s="468" t="s">
        <v>1369</v>
      </c>
      <c r="F10" s="469" t="s">
        <v>1370</v>
      </c>
      <c r="G10" s="470"/>
      <c r="H10" s="471"/>
    </row>
    <row r="11" spans="1:13" x14ac:dyDescent="0.25">
      <c r="E11" s="472" t="s">
        <v>1371</v>
      </c>
      <c r="F11" s="473" t="s">
        <v>1372</v>
      </c>
      <c r="G11" s="473"/>
      <c r="H11" s="474"/>
    </row>
    <row r="12" spans="1:13" x14ac:dyDescent="0.25">
      <c r="E12" s="472" t="s">
        <v>1373</v>
      </c>
      <c r="F12" s="475" t="s">
        <v>1131</v>
      </c>
      <c r="G12" s="473"/>
      <c r="H12" s="474"/>
    </row>
    <row r="13" spans="1:13" x14ac:dyDescent="0.25">
      <c r="E13" s="476"/>
      <c r="F13" s="477" t="s">
        <v>1133</v>
      </c>
      <c r="G13" s="478"/>
      <c r="H13" s="479"/>
    </row>
    <row r="14" spans="1:13" ht="15.75" x14ac:dyDescent="0.25">
      <c r="C14" s="174" t="s">
        <v>1374</v>
      </c>
      <c r="D14" s="174" t="s">
        <v>1375</v>
      </c>
      <c r="E14" s="237" t="s">
        <v>1376</v>
      </c>
      <c r="F14" s="237" t="s">
        <v>1377</v>
      </c>
      <c r="G14" s="237"/>
      <c r="H14" s="480"/>
    </row>
    <row r="15" spans="1:13" ht="15.75" x14ac:dyDescent="0.25">
      <c r="C15" s="175" t="s">
        <v>1090</v>
      </c>
      <c r="D15" s="175" t="s">
        <v>1378</v>
      </c>
      <c r="E15" s="175" t="s">
        <v>1379</v>
      </c>
      <c r="F15" s="175" t="s">
        <v>1380</v>
      </c>
      <c r="G15" s="175" t="s">
        <v>1381</v>
      </c>
      <c r="H15" s="175" t="s">
        <v>1382</v>
      </c>
    </row>
    <row r="16" spans="1:13" ht="75" x14ac:dyDescent="0.25">
      <c r="C16" s="481">
        <v>1</v>
      </c>
      <c r="D16" s="482" t="s">
        <v>1383</v>
      </c>
      <c r="E16" s="483">
        <v>12</v>
      </c>
      <c r="F16" s="484" t="s">
        <v>1384</v>
      </c>
      <c r="G16" s="181" t="s">
        <v>1385</v>
      </c>
      <c r="H16" s="181" t="s">
        <v>1386</v>
      </c>
      <c r="I16" s="2"/>
      <c r="K16" s="2"/>
      <c r="L16" s="2"/>
      <c r="M16" s="2"/>
    </row>
    <row r="17" spans="3:13" ht="195" x14ac:dyDescent="0.25">
      <c r="C17" s="481">
        <v>2</v>
      </c>
      <c r="D17" s="482" t="s">
        <v>1383</v>
      </c>
      <c r="E17" s="483" t="s">
        <v>1387</v>
      </c>
      <c r="F17" s="484" t="s">
        <v>1388</v>
      </c>
      <c r="G17" s="181" t="s">
        <v>1389</v>
      </c>
      <c r="H17" s="181" t="s">
        <v>1390</v>
      </c>
      <c r="I17" s="2"/>
      <c r="J17" s="485"/>
      <c r="K17" s="2"/>
      <c r="L17" s="2"/>
      <c r="M17" s="2"/>
    </row>
    <row r="18" spans="3:13" ht="90" x14ac:dyDescent="0.25">
      <c r="C18" s="481">
        <v>3</v>
      </c>
      <c r="D18" s="482" t="s">
        <v>1383</v>
      </c>
      <c r="E18" s="483">
        <v>8</v>
      </c>
      <c r="F18" s="484" t="s">
        <v>1391</v>
      </c>
      <c r="G18" s="181" t="s">
        <v>1392</v>
      </c>
      <c r="H18" s="181" t="s">
        <v>1393</v>
      </c>
      <c r="I18" s="2"/>
      <c r="J18" s="2"/>
      <c r="K18" s="2"/>
      <c r="L18" s="2"/>
      <c r="M18" s="2"/>
    </row>
    <row r="19" spans="3:13" ht="315" x14ac:dyDescent="0.25">
      <c r="C19" s="481">
        <v>4</v>
      </c>
      <c r="D19" s="486" t="s">
        <v>1394</v>
      </c>
      <c r="E19" s="483">
        <v>17</v>
      </c>
      <c r="F19" s="484" t="s">
        <v>1395</v>
      </c>
      <c r="G19" s="181" t="s">
        <v>1396</v>
      </c>
      <c r="H19" s="181" t="s">
        <v>1397</v>
      </c>
      <c r="I19" s="2"/>
      <c r="J19" s="2"/>
      <c r="K19" s="2"/>
      <c r="L19" s="2"/>
      <c r="M19" s="2"/>
    </row>
    <row r="20" spans="3:13" ht="105" x14ac:dyDescent="0.25">
      <c r="C20" s="481">
        <v>5</v>
      </c>
      <c r="D20" s="486" t="s">
        <v>1394</v>
      </c>
      <c r="E20" s="483">
        <v>19</v>
      </c>
      <c r="F20" s="484" t="s">
        <v>1398</v>
      </c>
      <c r="G20" s="181" t="s">
        <v>1399</v>
      </c>
      <c r="H20" s="181" t="s">
        <v>1400</v>
      </c>
      <c r="I20" s="2"/>
      <c r="J20" s="2"/>
      <c r="K20" s="2"/>
      <c r="L20" s="2"/>
      <c r="M20" s="2"/>
    </row>
    <row r="21" spans="3:13" ht="195" x14ac:dyDescent="0.25">
      <c r="C21" s="481">
        <v>6</v>
      </c>
      <c r="D21" s="487" t="s">
        <v>1170</v>
      </c>
      <c r="E21" s="483" t="s">
        <v>1401</v>
      </c>
      <c r="F21" s="484" t="s">
        <v>1402</v>
      </c>
      <c r="G21" s="181" t="s">
        <v>1403</v>
      </c>
      <c r="H21" s="181" t="s">
        <v>1404</v>
      </c>
      <c r="I21" s="2"/>
      <c r="J21" s="2"/>
      <c r="K21" s="2"/>
      <c r="L21" s="2"/>
      <c r="M21" s="2"/>
    </row>
    <row r="22" spans="3:13" x14ac:dyDescent="0.25">
      <c r="C22" s="29"/>
      <c r="D22" s="29"/>
      <c r="E22" s="29"/>
      <c r="F22" s="29"/>
      <c r="H22" s="2"/>
      <c r="I22" s="2"/>
      <c r="J22" s="2"/>
      <c r="K22" s="2"/>
      <c r="L22" s="2"/>
      <c r="M22" s="2"/>
    </row>
    <row r="23" spans="3:13" x14ac:dyDescent="0.25">
      <c r="C23" s="29"/>
      <c r="D23" s="29"/>
      <c r="E23" s="29"/>
      <c r="F23" s="29"/>
      <c r="H23" s="2"/>
      <c r="I23" s="2"/>
      <c r="J23" s="2"/>
      <c r="K23" s="2"/>
    </row>
    <row r="24" spans="3:13" x14ac:dyDescent="0.25">
      <c r="C24" s="29"/>
      <c r="D24" s="29"/>
      <c r="E24" s="29"/>
      <c r="F24" s="29"/>
    </row>
    <row r="25" spans="3:13" x14ac:dyDescent="0.25">
      <c r="C25" s="29"/>
      <c r="D25" s="29"/>
      <c r="E25" s="29"/>
      <c r="F25" s="29"/>
    </row>
  </sheetData>
  <mergeCells count="1">
    <mergeCell ref="A1:C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14805-379D-43C3-9967-998752C5AF3B}">
  <dimension ref="A1:AV74"/>
  <sheetViews>
    <sheetView workbookViewId="0">
      <selection activeCell="AI10" sqref="AI10"/>
    </sheetView>
  </sheetViews>
  <sheetFormatPr defaultColWidth="8.85546875" defaultRowHeight="15" x14ac:dyDescent="0.25"/>
  <cols>
    <col min="1" max="3" width="4" customWidth="1"/>
    <col min="4" max="4" width="10.85546875" customWidth="1"/>
    <col min="5" max="5" width="37.5703125" customWidth="1"/>
    <col min="6" max="6" width="48.85546875" customWidth="1"/>
    <col min="7" max="7" width="23.7109375" customWidth="1"/>
    <col min="8" max="8" width="25.140625" customWidth="1"/>
    <col min="9" max="9" width="21.85546875" customWidth="1"/>
    <col min="10" max="10" width="10.5703125" customWidth="1"/>
    <col min="11" max="14" width="16.7109375" customWidth="1"/>
    <col min="15" max="18" width="15.7109375" customWidth="1"/>
    <col min="19" max="22" width="26.5703125" customWidth="1"/>
    <col min="23" max="23" width="15.7109375" customWidth="1"/>
    <col min="24" max="28" width="16.85546875" customWidth="1"/>
    <col min="29" max="33" width="18.85546875" customWidth="1"/>
    <col min="34" max="34" width="16.5703125" customWidth="1"/>
    <col min="35" max="43" width="15.7109375" customWidth="1"/>
    <col min="44" max="47" width="27.28515625" customWidth="1"/>
    <col min="48" max="48" width="17.42578125" customWidth="1"/>
  </cols>
  <sheetData>
    <row r="1" spans="1:48" ht="31.5" x14ac:dyDescent="0.5">
      <c r="A1" s="722">
        <v>8</v>
      </c>
      <c r="B1" s="723"/>
      <c r="C1" s="724"/>
      <c r="D1" s="151" t="s">
        <v>1362</v>
      </c>
      <c r="H1" s="1"/>
      <c r="I1" s="1"/>
      <c r="J1" s="488" t="s">
        <v>1126</v>
      </c>
      <c r="K1" s="489" t="s">
        <v>1388</v>
      </c>
      <c r="L1" s="490"/>
      <c r="M1" s="490"/>
      <c r="N1" s="491"/>
    </row>
    <row r="2" spans="1:48" ht="31.5" x14ac:dyDescent="0.25">
      <c r="A2" s="725"/>
      <c r="B2" s="726"/>
      <c r="C2" s="727"/>
      <c r="E2" s="158" t="s">
        <v>1405</v>
      </c>
      <c r="G2" s="492" t="s">
        <v>1406</v>
      </c>
      <c r="I2" s="1"/>
      <c r="J2" s="1"/>
      <c r="K2" s="493" t="s">
        <v>1407</v>
      </c>
      <c r="L2" s="246"/>
      <c r="M2" s="246"/>
      <c r="N2" s="494"/>
    </row>
    <row r="3" spans="1:48" ht="31.5" x14ac:dyDescent="0.25">
      <c r="A3" s="728"/>
      <c r="B3" s="729"/>
      <c r="C3" s="730"/>
      <c r="E3" s="35" t="s">
        <v>1408</v>
      </c>
      <c r="F3" s="1"/>
      <c r="G3" s="1"/>
      <c r="H3" s="1"/>
      <c r="I3" s="1"/>
      <c r="J3" s="1"/>
      <c r="K3" s="493" t="s">
        <v>1409</v>
      </c>
      <c r="L3" s="246"/>
      <c r="M3" s="246"/>
      <c r="N3" s="494"/>
    </row>
    <row r="4" spans="1:48" ht="26.25" x14ac:dyDescent="0.25">
      <c r="E4" s="47" t="s">
        <v>1410</v>
      </c>
      <c r="F4" s="1"/>
      <c r="H4" s="1"/>
      <c r="K4" s="495" t="s">
        <v>1411</v>
      </c>
      <c r="L4" s="246"/>
      <c r="M4" s="246"/>
      <c r="N4" s="494"/>
    </row>
    <row r="5" spans="1:48" ht="15.75" thickBot="1" x14ac:dyDescent="0.3">
      <c r="K5" s="496" t="s">
        <v>1412</v>
      </c>
      <c r="L5" s="248"/>
      <c r="M5" s="497"/>
      <c r="N5" s="498"/>
    </row>
    <row r="6" spans="1:48" ht="24.75" thickTop="1" thickBot="1" x14ac:dyDescent="0.3">
      <c r="X6" s="499" t="s">
        <v>1413</v>
      </c>
      <c r="Y6" s="500"/>
      <c r="Z6" s="500"/>
      <c r="AA6" s="501"/>
      <c r="AB6" s="500"/>
      <c r="AC6" s="500"/>
      <c r="AD6" s="502" t="s">
        <v>1414</v>
      </c>
      <c r="AE6" s="503"/>
      <c r="AG6" s="504" t="s">
        <v>1415</v>
      </c>
      <c r="AH6" s="504" t="s">
        <v>1415</v>
      </c>
      <c r="AI6" s="505" t="s">
        <v>1416</v>
      </c>
      <c r="AJ6" s="506"/>
      <c r="AK6" s="506"/>
      <c r="AL6" s="507"/>
    </row>
    <row r="7" spans="1:48" ht="45.4" customHeight="1" thickTop="1" thickBot="1" x14ac:dyDescent="0.4">
      <c r="D7" s="839" t="s">
        <v>1417</v>
      </c>
      <c r="E7" s="838" t="s">
        <v>1418</v>
      </c>
      <c r="F7" s="838" t="s">
        <v>1419</v>
      </c>
      <c r="G7" s="827" t="s">
        <v>1420</v>
      </c>
      <c r="H7" s="838" t="s">
        <v>1421</v>
      </c>
      <c r="I7" s="827" t="s">
        <v>1422</v>
      </c>
      <c r="J7" s="830" t="s">
        <v>1423</v>
      </c>
      <c r="K7" s="819" t="s">
        <v>1424</v>
      </c>
      <c r="L7" s="831"/>
      <c r="M7" s="831"/>
      <c r="N7" s="831"/>
      <c r="O7" s="831"/>
      <c r="P7" s="831"/>
      <c r="Q7" s="831"/>
      <c r="R7" s="831"/>
      <c r="S7" s="832" t="s">
        <v>1425</v>
      </c>
      <c r="T7" s="833"/>
      <c r="U7" s="833"/>
      <c r="V7" s="834"/>
      <c r="W7" s="835" t="s">
        <v>1426</v>
      </c>
      <c r="X7" s="508" t="s">
        <v>1427</v>
      </c>
      <c r="Y7" s="508" t="s">
        <v>1428</v>
      </c>
      <c r="Z7" s="508" t="s">
        <v>1429</v>
      </c>
      <c r="AA7" s="508" t="s">
        <v>1430</v>
      </c>
      <c r="AB7" s="508" t="s">
        <v>1431</v>
      </c>
      <c r="AC7" s="508" t="s">
        <v>1432</v>
      </c>
      <c r="AD7" s="508" t="s">
        <v>1433</v>
      </c>
      <c r="AE7" s="508" t="s">
        <v>1434</v>
      </c>
      <c r="AF7" s="820" t="s">
        <v>1435</v>
      </c>
      <c r="AG7" s="815" t="s">
        <v>1436</v>
      </c>
      <c r="AH7" s="815" t="s">
        <v>1437</v>
      </c>
      <c r="AI7" s="818" t="s">
        <v>1438</v>
      </c>
      <c r="AJ7" s="819" t="s">
        <v>1439</v>
      </c>
      <c r="AK7" s="819"/>
      <c r="AL7" s="819"/>
      <c r="AM7" s="819"/>
      <c r="AN7" s="819"/>
      <c r="AO7" s="819"/>
      <c r="AP7" s="819"/>
      <c r="AQ7" s="819"/>
      <c r="AR7" s="819" t="s">
        <v>1440</v>
      </c>
      <c r="AS7" s="819"/>
      <c r="AT7" s="819"/>
      <c r="AU7" s="819"/>
      <c r="AV7" s="824" t="s">
        <v>1441</v>
      </c>
    </row>
    <row r="8" spans="1:48" ht="15" customHeight="1" thickTop="1" thickBot="1" x14ac:dyDescent="0.3">
      <c r="D8" s="839"/>
      <c r="E8" s="838"/>
      <c r="F8" s="838"/>
      <c r="G8" s="828"/>
      <c r="H8" s="838"/>
      <c r="I8" s="828"/>
      <c r="J8" s="830"/>
      <c r="K8" s="811" t="s">
        <v>1442</v>
      </c>
      <c r="L8" s="811" t="s">
        <v>1443</v>
      </c>
      <c r="M8" s="811" t="s">
        <v>1444</v>
      </c>
      <c r="N8" s="811" t="s">
        <v>1445</v>
      </c>
      <c r="O8" s="811" t="s">
        <v>1446</v>
      </c>
      <c r="P8" s="811" t="s">
        <v>1447</v>
      </c>
      <c r="Q8" s="811" t="s">
        <v>37</v>
      </c>
      <c r="R8" s="811" t="s">
        <v>37</v>
      </c>
      <c r="S8" s="813">
        <v>1</v>
      </c>
      <c r="T8" s="813">
        <v>2</v>
      </c>
      <c r="U8" s="813">
        <v>3</v>
      </c>
      <c r="V8" s="813">
        <v>4</v>
      </c>
      <c r="W8" s="836"/>
      <c r="X8" s="820" t="s">
        <v>1448</v>
      </c>
      <c r="Y8" s="820" t="s">
        <v>1448</v>
      </c>
      <c r="Z8" s="820" t="s">
        <v>1449</v>
      </c>
      <c r="AA8" s="820" t="s">
        <v>1450</v>
      </c>
      <c r="AB8" s="820" t="s">
        <v>1451</v>
      </c>
      <c r="AC8" s="820" t="s">
        <v>1452</v>
      </c>
      <c r="AD8" s="820" t="s">
        <v>1452</v>
      </c>
      <c r="AE8" s="820" t="s">
        <v>1452</v>
      </c>
      <c r="AF8" s="822"/>
      <c r="AG8" s="816"/>
      <c r="AH8" s="816"/>
      <c r="AI8" s="818"/>
      <c r="AJ8" s="811" t="s">
        <v>1442</v>
      </c>
      <c r="AK8" s="811" t="s">
        <v>1443</v>
      </c>
      <c r="AL8" s="811" t="s">
        <v>1444</v>
      </c>
      <c r="AM8" s="811" t="s">
        <v>1445</v>
      </c>
      <c r="AN8" s="811" t="s">
        <v>1446</v>
      </c>
      <c r="AO8" s="811" t="s">
        <v>1447</v>
      </c>
      <c r="AP8" s="811" t="s">
        <v>37</v>
      </c>
      <c r="AQ8" s="811" t="s">
        <v>37</v>
      </c>
      <c r="AR8" s="813">
        <v>1</v>
      </c>
      <c r="AS8" s="813">
        <v>2</v>
      </c>
      <c r="AT8" s="813">
        <v>3</v>
      </c>
      <c r="AU8" s="813">
        <v>4</v>
      </c>
      <c r="AV8" s="825"/>
    </row>
    <row r="9" spans="1:48" ht="16.5" thickTop="1" thickBot="1" x14ac:dyDescent="0.3">
      <c r="D9" s="839"/>
      <c r="E9" s="838"/>
      <c r="F9" s="838"/>
      <c r="G9" s="829"/>
      <c r="H9" s="838"/>
      <c r="I9" s="829"/>
      <c r="J9" s="830"/>
      <c r="K9" s="812"/>
      <c r="L9" s="812"/>
      <c r="M9" s="812"/>
      <c r="N9" s="812"/>
      <c r="O9" s="812"/>
      <c r="P9" s="812"/>
      <c r="Q9" s="812"/>
      <c r="R9" s="812"/>
      <c r="S9" s="814"/>
      <c r="T9" s="814"/>
      <c r="U9" s="814"/>
      <c r="V9" s="814"/>
      <c r="W9" s="837"/>
      <c r="X9" s="821"/>
      <c r="Y9" s="821"/>
      <c r="Z9" s="821"/>
      <c r="AA9" s="821"/>
      <c r="AB9" s="821"/>
      <c r="AC9" s="821"/>
      <c r="AD9" s="821"/>
      <c r="AE9" s="821"/>
      <c r="AF9" s="823"/>
      <c r="AG9" s="817"/>
      <c r="AH9" s="817"/>
      <c r="AI9" s="818"/>
      <c r="AJ9" s="812"/>
      <c r="AK9" s="812"/>
      <c r="AL9" s="812"/>
      <c r="AM9" s="812"/>
      <c r="AN9" s="812"/>
      <c r="AO9" s="812"/>
      <c r="AP9" s="812"/>
      <c r="AQ9" s="812"/>
      <c r="AR9" s="814"/>
      <c r="AS9" s="814"/>
      <c r="AT9" s="814"/>
      <c r="AU9" s="814"/>
      <c r="AV9" s="826"/>
    </row>
    <row r="10" spans="1:48" ht="30" customHeight="1" thickTop="1" thickBot="1" x14ac:dyDescent="0.3">
      <c r="A10" s="807" t="s">
        <v>1453</v>
      </c>
      <c r="B10" s="808"/>
      <c r="C10" s="809"/>
      <c r="D10" s="509" t="s">
        <v>1454</v>
      </c>
      <c r="E10" s="510" t="s">
        <v>1455</v>
      </c>
      <c r="F10" s="510" t="s">
        <v>1456</v>
      </c>
      <c r="G10" s="510" t="s">
        <v>1457</v>
      </c>
      <c r="H10" s="510" t="s">
        <v>1458</v>
      </c>
      <c r="I10" s="510" t="s">
        <v>1459</v>
      </c>
      <c r="J10" s="511">
        <v>43942</v>
      </c>
      <c r="K10" s="512">
        <v>475000</v>
      </c>
      <c r="L10" s="512">
        <v>0</v>
      </c>
      <c r="M10" s="512">
        <v>0</v>
      </c>
      <c r="N10" s="512">
        <v>0</v>
      </c>
      <c r="O10" s="512">
        <v>0</v>
      </c>
      <c r="P10" s="512">
        <v>0</v>
      </c>
      <c r="Q10" s="512">
        <v>0</v>
      </c>
      <c r="R10" s="512">
        <v>0</v>
      </c>
      <c r="S10" s="513" t="s">
        <v>1460</v>
      </c>
      <c r="T10" s="513" t="s">
        <v>1461</v>
      </c>
      <c r="U10" s="513"/>
      <c r="V10" s="513"/>
      <c r="W10" s="514">
        <v>17500</v>
      </c>
      <c r="X10" s="515">
        <v>4</v>
      </c>
      <c r="Y10" s="515">
        <v>5</v>
      </c>
      <c r="Z10" s="515">
        <v>3</v>
      </c>
      <c r="AA10" s="515">
        <v>1</v>
      </c>
      <c r="AB10" s="515">
        <v>3</v>
      </c>
      <c r="AC10" s="515" t="s">
        <v>1462</v>
      </c>
      <c r="AD10" s="515" t="s">
        <v>1462</v>
      </c>
      <c r="AE10" s="515" t="s">
        <v>1462</v>
      </c>
      <c r="AF10" s="516">
        <f>X10*Y10*Z10*AA10*AB10</f>
        <v>180</v>
      </c>
      <c r="AG10" s="517" t="s">
        <v>1463</v>
      </c>
      <c r="AH10" s="518" t="s">
        <v>1464</v>
      </c>
      <c r="AI10" s="519">
        <v>44024</v>
      </c>
      <c r="AJ10" s="520" t="s">
        <v>1465</v>
      </c>
      <c r="AK10" s="520">
        <v>0</v>
      </c>
      <c r="AL10" s="520">
        <v>0</v>
      </c>
      <c r="AM10" s="520">
        <v>0</v>
      </c>
      <c r="AN10" s="520">
        <v>0</v>
      </c>
      <c r="AO10" s="520">
        <v>0</v>
      </c>
      <c r="AP10" s="520">
        <v>0</v>
      </c>
      <c r="AQ10" s="520">
        <v>0</v>
      </c>
      <c r="AR10" s="513" t="s">
        <v>1466</v>
      </c>
      <c r="AS10" s="513" t="s">
        <v>1467</v>
      </c>
      <c r="AT10" s="513"/>
      <c r="AU10" s="513"/>
      <c r="AV10" s="514">
        <v>16785</v>
      </c>
    </row>
    <row r="11" spans="1:48" ht="30" customHeight="1" thickTop="1" x14ac:dyDescent="0.25">
      <c r="D11" s="521"/>
      <c r="E11" s="522"/>
      <c r="F11" s="522"/>
      <c r="G11" s="522"/>
      <c r="H11" s="522"/>
      <c r="I11" s="522"/>
      <c r="J11" s="523"/>
      <c r="K11" s="524"/>
      <c r="L11" s="524"/>
      <c r="M11" s="524"/>
      <c r="N11" s="524"/>
      <c r="O11" s="524"/>
      <c r="P11" s="524"/>
      <c r="Q11" s="524"/>
      <c r="R11" s="524"/>
      <c r="S11" s="525"/>
      <c r="T11" s="525"/>
      <c r="U11" s="525"/>
      <c r="V11" s="525"/>
      <c r="W11" s="526"/>
      <c r="X11" s="527"/>
      <c r="Y11" s="527"/>
      <c r="Z11" s="527"/>
      <c r="AA11" s="527"/>
      <c r="AB11" s="527"/>
      <c r="AC11" s="527"/>
      <c r="AD11" s="527"/>
      <c r="AE11" s="527"/>
      <c r="AF11" s="528">
        <f>X11*Y11*Z11*AA11</f>
        <v>0</v>
      </c>
      <c r="AG11" s="529"/>
      <c r="AH11" s="530"/>
      <c r="AI11" s="531"/>
      <c r="AJ11" s="532"/>
      <c r="AK11" s="532"/>
      <c r="AL11" s="532"/>
      <c r="AM11" s="532"/>
      <c r="AN11" s="532"/>
      <c r="AO11" s="532"/>
      <c r="AP11" s="532"/>
      <c r="AQ11" s="532"/>
      <c r="AR11" s="525"/>
      <c r="AS11" s="525"/>
      <c r="AT11" s="525"/>
      <c r="AU11" s="525"/>
      <c r="AV11" s="526"/>
    </row>
    <row r="12" spans="1:48" ht="30" customHeight="1" x14ac:dyDescent="0.25">
      <c r="D12" s="533"/>
      <c r="E12" s="534"/>
      <c r="F12" s="534"/>
      <c r="G12" s="534"/>
      <c r="H12" s="534"/>
      <c r="I12" s="534"/>
      <c r="J12" s="535"/>
      <c r="K12" s="536"/>
      <c r="L12" s="536"/>
      <c r="M12" s="536"/>
      <c r="N12" s="536"/>
      <c r="O12" s="536"/>
      <c r="P12" s="536"/>
      <c r="Q12" s="536"/>
      <c r="R12" s="536"/>
      <c r="S12" s="537"/>
      <c r="T12" s="537"/>
      <c r="U12" s="537"/>
      <c r="V12" s="537"/>
      <c r="W12" s="538"/>
      <c r="X12" s="539"/>
      <c r="Y12" s="539"/>
      <c r="Z12" s="539"/>
      <c r="AA12" s="539"/>
      <c r="AB12" s="539"/>
      <c r="AC12" s="539"/>
      <c r="AD12" s="539"/>
      <c r="AE12" s="539"/>
      <c r="AF12" s="540">
        <f t="shared" ref="AF12:AF17" si="0">X12*Y12*Z12*AA12</f>
        <v>0</v>
      </c>
      <c r="AG12" s="541"/>
      <c r="AH12" s="542"/>
      <c r="AI12" s="543"/>
      <c r="AJ12" s="544"/>
      <c r="AK12" s="544"/>
      <c r="AL12" s="544"/>
      <c r="AM12" s="544"/>
      <c r="AN12" s="544"/>
      <c r="AO12" s="544"/>
      <c r="AP12" s="544"/>
      <c r="AQ12" s="544"/>
      <c r="AR12" s="537"/>
      <c r="AS12" s="537"/>
      <c r="AT12" s="537"/>
      <c r="AU12" s="537"/>
      <c r="AV12" s="538"/>
    </row>
    <row r="13" spans="1:48" ht="30" customHeight="1" x14ac:dyDescent="0.25">
      <c r="D13" s="533"/>
      <c r="E13" s="534"/>
      <c r="F13" s="534"/>
      <c r="G13" s="534"/>
      <c r="H13" s="534"/>
      <c r="I13" s="534"/>
      <c r="J13" s="535"/>
      <c r="K13" s="536"/>
      <c r="L13" s="536"/>
      <c r="M13" s="536"/>
      <c r="N13" s="536"/>
      <c r="O13" s="536"/>
      <c r="P13" s="536"/>
      <c r="Q13" s="536"/>
      <c r="R13" s="536"/>
      <c r="S13" s="537"/>
      <c r="T13" s="537"/>
      <c r="U13" s="537"/>
      <c r="V13" s="537"/>
      <c r="W13" s="538"/>
      <c r="X13" s="539"/>
      <c r="Y13" s="539"/>
      <c r="Z13" s="539"/>
      <c r="AA13" s="539"/>
      <c r="AB13" s="539"/>
      <c r="AC13" s="539"/>
      <c r="AD13" s="539"/>
      <c r="AE13" s="539"/>
      <c r="AF13" s="540">
        <f t="shared" si="0"/>
        <v>0</v>
      </c>
      <c r="AG13" s="541"/>
      <c r="AH13" s="542"/>
      <c r="AI13" s="543"/>
      <c r="AJ13" s="544"/>
      <c r="AK13" s="544"/>
      <c r="AL13" s="544"/>
      <c r="AM13" s="544"/>
      <c r="AN13" s="544"/>
      <c r="AO13" s="544"/>
      <c r="AP13" s="544"/>
      <c r="AQ13" s="544"/>
      <c r="AR13" s="545"/>
      <c r="AS13" s="545"/>
      <c r="AT13" s="545"/>
      <c r="AU13" s="545"/>
      <c r="AV13" s="538"/>
    </row>
    <row r="14" spans="1:48" ht="30" customHeight="1" x14ac:dyDescent="0.25">
      <c r="D14" s="533"/>
      <c r="E14" s="534"/>
      <c r="F14" s="534"/>
      <c r="G14" s="534"/>
      <c r="H14" s="534"/>
      <c r="I14" s="534"/>
      <c r="J14" s="535"/>
      <c r="K14" s="536"/>
      <c r="L14" s="536"/>
      <c r="M14" s="536"/>
      <c r="N14" s="536"/>
      <c r="O14" s="536"/>
      <c r="P14" s="536"/>
      <c r="Q14" s="536"/>
      <c r="R14" s="536"/>
      <c r="S14" s="537"/>
      <c r="T14" s="537"/>
      <c r="U14" s="537"/>
      <c r="V14" s="537"/>
      <c r="W14" s="538"/>
      <c r="X14" s="539"/>
      <c r="Y14" s="539"/>
      <c r="Z14" s="539"/>
      <c r="AA14" s="539"/>
      <c r="AB14" s="539"/>
      <c r="AC14" s="539"/>
      <c r="AD14" s="539"/>
      <c r="AE14" s="539"/>
      <c r="AF14" s="540">
        <f t="shared" si="0"/>
        <v>0</v>
      </c>
      <c r="AG14" s="541"/>
      <c r="AH14" s="542"/>
      <c r="AI14" s="543"/>
      <c r="AJ14" s="544"/>
      <c r="AK14" s="544"/>
      <c r="AL14" s="544"/>
      <c r="AM14" s="544"/>
      <c r="AN14" s="544"/>
      <c r="AO14" s="544"/>
      <c r="AP14" s="544"/>
      <c r="AQ14" s="544"/>
      <c r="AR14" s="545"/>
      <c r="AS14" s="545"/>
      <c r="AT14" s="545"/>
      <c r="AU14" s="545"/>
      <c r="AV14" s="538"/>
    </row>
    <row r="15" spans="1:48" ht="30" customHeight="1" x14ac:dyDescent="0.25">
      <c r="D15" s="533"/>
      <c r="E15" s="534"/>
      <c r="F15" s="534"/>
      <c r="G15" s="534"/>
      <c r="H15" s="534"/>
      <c r="I15" s="534"/>
      <c r="J15" s="535"/>
      <c r="K15" s="536"/>
      <c r="L15" s="536"/>
      <c r="M15" s="536"/>
      <c r="N15" s="536"/>
      <c r="O15" s="536"/>
      <c r="P15" s="536"/>
      <c r="Q15" s="536"/>
      <c r="R15" s="536"/>
      <c r="S15" s="537"/>
      <c r="T15" s="537"/>
      <c r="U15" s="537"/>
      <c r="V15" s="537"/>
      <c r="W15" s="538"/>
      <c r="X15" s="539"/>
      <c r="Y15" s="539"/>
      <c r="Z15" s="539"/>
      <c r="AA15" s="539"/>
      <c r="AB15" s="539"/>
      <c r="AC15" s="539"/>
      <c r="AD15" s="539"/>
      <c r="AE15" s="539"/>
      <c r="AF15" s="540">
        <f t="shared" si="0"/>
        <v>0</v>
      </c>
      <c r="AG15" s="541"/>
      <c r="AH15" s="542"/>
      <c r="AI15" s="543"/>
      <c r="AJ15" s="544"/>
      <c r="AK15" s="544"/>
      <c r="AL15" s="544"/>
      <c r="AM15" s="544"/>
      <c r="AN15" s="544"/>
      <c r="AO15" s="544"/>
      <c r="AP15" s="544"/>
      <c r="AQ15" s="544"/>
      <c r="AR15" s="545"/>
      <c r="AS15" s="545"/>
      <c r="AT15" s="545"/>
      <c r="AU15" s="545"/>
      <c r="AV15" s="538"/>
    </row>
    <row r="16" spans="1:48" ht="30" customHeight="1" x14ac:dyDescent="0.25">
      <c r="D16" s="533"/>
      <c r="E16" s="534"/>
      <c r="F16" s="534"/>
      <c r="G16" s="534"/>
      <c r="H16" s="534"/>
      <c r="I16" s="534"/>
      <c r="J16" s="535"/>
      <c r="K16" s="536"/>
      <c r="L16" s="536"/>
      <c r="M16" s="536"/>
      <c r="N16" s="536"/>
      <c r="O16" s="536"/>
      <c r="P16" s="536"/>
      <c r="Q16" s="536"/>
      <c r="R16" s="536"/>
      <c r="S16" s="537"/>
      <c r="T16" s="537"/>
      <c r="U16" s="537"/>
      <c r="V16" s="537"/>
      <c r="W16" s="538"/>
      <c r="X16" s="539"/>
      <c r="Y16" s="539"/>
      <c r="Z16" s="539"/>
      <c r="AA16" s="539"/>
      <c r="AB16" s="539"/>
      <c r="AC16" s="539"/>
      <c r="AD16" s="539"/>
      <c r="AE16" s="539"/>
      <c r="AF16" s="540">
        <f t="shared" si="0"/>
        <v>0</v>
      </c>
      <c r="AG16" s="541"/>
      <c r="AH16" s="542"/>
      <c r="AI16" s="543"/>
      <c r="AJ16" s="544"/>
      <c r="AK16" s="544"/>
      <c r="AL16" s="544"/>
      <c r="AM16" s="544"/>
      <c r="AN16" s="544"/>
      <c r="AO16" s="544"/>
      <c r="AP16" s="544"/>
      <c r="AQ16" s="544"/>
      <c r="AR16" s="545"/>
      <c r="AS16" s="545"/>
      <c r="AT16" s="545"/>
      <c r="AU16" s="545"/>
      <c r="AV16" s="538"/>
    </row>
    <row r="17" spans="4:48" ht="30" customHeight="1" x14ac:dyDescent="0.25">
      <c r="D17" s="533"/>
      <c r="E17" s="534"/>
      <c r="F17" s="534"/>
      <c r="G17" s="534"/>
      <c r="H17" s="534"/>
      <c r="I17" s="534"/>
      <c r="J17" s="535"/>
      <c r="K17" s="536"/>
      <c r="L17" s="536"/>
      <c r="M17" s="536"/>
      <c r="N17" s="536"/>
      <c r="O17" s="536"/>
      <c r="P17" s="536"/>
      <c r="Q17" s="536"/>
      <c r="R17" s="536"/>
      <c r="S17" s="537"/>
      <c r="T17" s="537"/>
      <c r="U17" s="537"/>
      <c r="V17" s="537"/>
      <c r="W17" s="538"/>
      <c r="X17" s="539"/>
      <c r="Y17" s="539"/>
      <c r="Z17" s="539"/>
      <c r="AA17" s="539"/>
      <c r="AB17" s="539"/>
      <c r="AC17" s="539"/>
      <c r="AD17" s="539"/>
      <c r="AE17" s="539"/>
      <c r="AF17" s="540">
        <f t="shared" si="0"/>
        <v>0</v>
      </c>
      <c r="AG17" s="541"/>
      <c r="AH17" s="542"/>
      <c r="AI17" s="543"/>
      <c r="AJ17" s="544"/>
      <c r="AK17" s="544"/>
      <c r="AL17" s="544"/>
      <c r="AM17" s="544"/>
      <c r="AN17" s="544"/>
      <c r="AO17" s="544"/>
      <c r="AP17" s="544"/>
      <c r="AQ17" s="544"/>
      <c r="AR17" s="545"/>
      <c r="AS17" s="545"/>
      <c r="AT17" s="545"/>
      <c r="AU17" s="545"/>
      <c r="AV17" s="538"/>
    </row>
    <row r="20" spans="4:48" ht="17.45" customHeight="1" x14ac:dyDescent="0.25">
      <c r="X20" t="s">
        <v>1468</v>
      </c>
    </row>
    <row r="21" spans="4:48" ht="17.45" customHeight="1" x14ac:dyDescent="0.25">
      <c r="X21" s="546" t="s">
        <v>1469</v>
      </c>
      <c r="Y21" s="29"/>
      <c r="AA21" s="546" t="s">
        <v>1431</v>
      </c>
      <c r="AC21" t="s">
        <v>1470</v>
      </c>
    </row>
    <row r="22" spans="4:48" ht="17.45" customHeight="1" x14ac:dyDescent="0.25">
      <c r="X22" s="198" t="s">
        <v>1471</v>
      </c>
      <c r="Y22" s="29">
        <v>5</v>
      </c>
      <c r="AA22" s="198" t="s">
        <v>1472</v>
      </c>
      <c r="AB22" s="29">
        <v>5</v>
      </c>
      <c r="AC22" s="29" t="s">
        <v>1472</v>
      </c>
      <c r="AD22" s="29" t="s">
        <v>1473</v>
      </c>
      <c r="AE22" s="29" t="s">
        <v>1474</v>
      </c>
      <c r="AF22" s="29" t="s">
        <v>1475</v>
      </c>
      <c r="AG22" s="29" t="s">
        <v>1476</v>
      </c>
    </row>
    <row r="23" spans="4:48" ht="17.45" customHeight="1" x14ac:dyDescent="0.25">
      <c r="X23" s="198" t="s">
        <v>1477</v>
      </c>
      <c r="Y23" s="29">
        <v>4</v>
      </c>
      <c r="AA23" s="198" t="s">
        <v>1473</v>
      </c>
      <c r="AB23" s="29">
        <v>4</v>
      </c>
      <c r="AC23" s="803" t="s">
        <v>1478</v>
      </c>
      <c r="AD23" s="803" t="s">
        <v>1479</v>
      </c>
      <c r="AE23" s="803" t="s">
        <v>1480</v>
      </c>
      <c r="AF23" s="803" t="s">
        <v>1481</v>
      </c>
      <c r="AG23" s="803" t="s">
        <v>1482</v>
      </c>
    </row>
    <row r="24" spans="4:48" ht="17.45" customHeight="1" x14ac:dyDescent="0.25">
      <c r="X24" s="198" t="s">
        <v>1483</v>
      </c>
      <c r="Y24" s="29">
        <v>3</v>
      </c>
      <c r="AA24" s="198" t="s">
        <v>1474</v>
      </c>
      <c r="AB24" s="29">
        <v>3</v>
      </c>
      <c r="AC24" s="804"/>
      <c r="AD24" s="804"/>
      <c r="AE24" s="804"/>
      <c r="AF24" s="804"/>
      <c r="AG24" s="804"/>
    </row>
    <row r="25" spans="4:48" ht="17.45" customHeight="1" x14ac:dyDescent="0.25">
      <c r="X25" s="198" t="s">
        <v>1484</v>
      </c>
      <c r="Y25" s="29">
        <v>2</v>
      </c>
      <c r="AA25" s="198" t="s">
        <v>1475</v>
      </c>
      <c r="AB25" s="29">
        <v>2</v>
      </c>
      <c r="AC25" s="804"/>
      <c r="AD25" s="804"/>
      <c r="AE25" s="804"/>
      <c r="AF25" s="804"/>
      <c r="AG25" s="804"/>
    </row>
    <row r="26" spans="4:48" ht="17.45" customHeight="1" x14ac:dyDescent="0.25">
      <c r="X26" s="198" t="s">
        <v>1485</v>
      </c>
      <c r="Y26" s="29">
        <v>1</v>
      </c>
      <c r="AA26" s="198" t="s">
        <v>1486</v>
      </c>
      <c r="AB26" s="29">
        <v>1</v>
      </c>
      <c r="AC26" s="804"/>
      <c r="AD26" s="804"/>
      <c r="AE26" s="804"/>
      <c r="AF26" s="804"/>
      <c r="AG26" s="804"/>
    </row>
    <row r="27" spans="4:48" ht="17.45" customHeight="1" x14ac:dyDescent="0.25">
      <c r="X27" s="198"/>
      <c r="Y27" s="29"/>
      <c r="AA27" s="198"/>
      <c r="AC27" s="810"/>
      <c r="AD27" s="810"/>
      <c r="AE27" s="810"/>
      <c r="AF27" s="810"/>
      <c r="AG27" s="810"/>
    </row>
    <row r="28" spans="4:48" ht="17.45" customHeight="1" x14ac:dyDescent="0.25">
      <c r="X28" s="546" t="s">
        <v>1487</v>
      </c>
      <c r="Y28" s="29"/>
      <c r="AC28" s="803" t="s">
        <v>1488</v>
      </c>
      <c r="AD28" s="803" t="s">
        <v>1489</v>
      </c>
      <c r="AE28" s="803" t="s">
        <v>1490</v>
      </c>
      <c r="AF28" s="803" t="s">
        <v>1491</v>
      </c>
      <c r="AG28" s="803" t="s">
        <v>1492</v>
      </c>
    </row>
    <row r="29" spans="4:48" ht="17.45" customHeight="1" x14ac:dyDescent="0.25">
      <c r="X29" s="198" t="s">
        <v>1493</v>
      </c>
      <c r="Y29" s="29">
        <v>5</v>
      </c>
      <c r="AC29" s="804"/>
      <c r="AD29" s="804"/>
      <c r="AE29" s="804"/>
      <c r="AF29" s="804"/>
      <c r="AG29" s="804"/>
    </row>
    <row r="30" spans="4:48" ht="17.45" customHeight="1" x14ac:dyDescent="0.25">
      <c r="X30" s="198" t="s">
        <v>1494</v>
      </c>
      <c r="Y30" s="29">
        <v>4</v>
      </c>
      <c r="AC30" s="804"/>
      <c r="AD30" s="804"/>
      <c r="AE30" s="804"/>
      <c r="AF30" s="804"/>
      <c r="AG30" s="804"/>
    </row>
    <row r="31" spans="4:48" ht="17.45" customHeight="1" x14ac:dyDescent="0.25">
      <c r="X31" s="198" t="s">
        <v>1495</v>
      </c>
      <c r="Y31" s="29">
        <v>3</v>
      </c>
      <c r="AC31" s="804"/>
      <c r="AD31" s="804"/>
      <c r="AE31" s="804"/>
      <c r="AF31" s="804"/>
      <c r="AG31" s="804"/>
    </row>
    <row r="32" spans="4:48" ht="17.45" customHeight="1" x14ac:dyDescent="0.25">
      <c r="X32" s="198" t="s">
        <v>1496</v>
      </c>
      <c r="Y32" s="29">
        <v>2</v>
      </c>
      <c r="AC32" s="805"/>
      <c r="AD32" s="805"/>
      <c r="AE32" s="805"/>
      <c r="AF32" s="805"/>
      <c r="AG32" s="805"/>
    </row>
    <row r="33" spans="23:33" ht="17.45" customHeight="1" x14ac:dyDescent="0.25">
      <c r="X33" s="198" t="s">
        <v>1497</v>
      </c>
      <c r="Y33" s="29">
        <v>1</v>
      </c>
      <c r="AC33" s="805"/>
      <c r="AD33" s="805"/>
      <c r="AE33" s="805"/>
      <c r="AF33" s="805"/>
      <c r="AG33" s="805"/>
    </row>
    <row r="34" spans="23:33" ht="17.45" customHeight="1" x14ac:dyDescent="0.25">
      <c r="X34" s="198"/>
      <c r="Y34" s="29"/>
      <c r="AC34" s="806"/>
      <c r="AD34" s="806"/>
      <c r="AE34" s="806"/>
      <c r="AF34" s="806"/>
      <c r="AG34" s="806"/>
    </row>
    <row r="35" spans="23:33" ht="17.45" customHeight="1" x14ac:dyDescent="0.25">
      <c r="X35" s="546" t="s">
        <v>1498</v>
      </c>
      <c r="Y35" s="29"/>
    </row>
    <row r="36" spans="23:33" ht="17.45" customHeight="1" x14ac:dyDescent="0.25">
      <c r="X36" s="198" t="s">
        <v>1499</v>
      </c>
      <c r="Y36" s="29">
        <v>5</v>
      </c>
      <c r="AA36" s="546" t="s">
        <v>1500</v>
      </c>
    </row>
    <row r="37" spans="23:33" ht="17.45" customHeight="1" x14ac:dyDescent="0.25">
      <c r="X37" s="198" t="s">
        <v>1501</v>
      </c>
      <c r="Y37" s="29">
        <v>4</v>
      </c>
      <c r="AA37" s="198"/>
      <c r="AB37" s="29">
        <v>5</v>
      </c>
    </row>
    <row r="38" spans="23:33" ht="17.45" customHeight="1" x14ac:dyDescent="0.25">
      <c r="X38" s="198" t="s">
        <v>1502</v>
      </c>
      <c r="Y38" s="29">
        <v>3</v>
      </c>
      <c r="AA38" s="198"/>
      <c r="AB38" s="29">
        <v>4</v>
      </c>
    </row>
    <row r="39" spans="23:33" ht="17.45" customHeight="1" x14ac:dyDescent="0.25">
      <c r="X39" s="198" t="s">
        <v>1503</v>
      </c>
      <c r="Y39" s="29">
        <v>2</v>
      </c>
      <c r="AA39" s="198"/>
      <c r="AB39" s="29">
        <v>3</v>
      </c>
    </row>
    <row r="40" spans="23:33" ht="17.45" customHeight="1" x14ac:dyDescent="0.25">
      <c r="X40" s="198" t="s">
        <v>1497</v>
      </c>
      <c r="Y40" s="29">
        <v>1</v>
      </c>
      <c r="AA40" s="198"/>
      <c r="AB40" s="29">
        <v>2</v>
      </c>
    </row>
    <row r="41" spans="23:33" ht="17.45" customHeight="1" x14ac:dyDescent="0.25">
      <c r="X41" s="198"/>
      <c r="Y41" s="29"/>
      <c r="AA41" s="198"/>
      <c r="AB41" s="29">
        <v>1</v>
      </c>
    </row>
    <row r="42" spans="23:33" ht="17.45" customHeight="1" x14ac:dyDescent="0.25">
      <c r="X42" s="546" t="s">
        <v>1430</v>
      </c>
      <c r="Y42" s="29"/>
    </row>
    <row r="43" spans="23:33" ht="17.45" customHeight="1" x14ac:dyDescent="0.25">
      <c r="W43" s="198" t="s">
        <v>1504</v>
      </c>
      <c r="X43" s="547" t="s">
        <v>1505</v>
      </c>
      <c r="Y43" s="29">
        <v>5</v>
      </c>
    </row>
    <row r="44" spans="23:33" ht="17.45" customHeight="1" x14ac:dyDescent="0.25">
      <c r="X44" s="198" t="s">
        <v>1506</v>
      </c>
      <c r="Y44" s="29">
        <v>4</v>
      </c>
    </row>
    <row r="45" spans="23:33" ht="17.45" customHeight="1" x14ac:dyDescent="0.25">
      <c r="X45" s="198" t="s">
        <v>1507</v>
      </c>
      <c r="Y45" s="29">
        <v>3</v>
      </c>
    </row>
    <row r="46" spans="23:33" ht="17.45" customHeight="1" x14ac:dyDescent="0.25">
      <c r="X46" s="198" t="s">
        <v>1508</v>
      </c>
      <c r="Y46" s="29">
        <v>2</v>
      </c>
    </row>
    <row r="47" spans="23:33" ht="17.45" customHeight="1" x14ac:dyDescent="0.25">
      <c r="X47" s="198" t="s">
        <v>1509</v>
      </c>
      <c r="Y47" s="29">
        <v>1</v>
      </c>
    </row>
    <row r="48" spans="23:33" ht="17.45" customHeight="1" x14ac:dyDescent="0.25">
      <c r="X48" s="198"/>
      <c r="Y48" s="29"/>
      <c r="AA48" s="198"/>
      <c r="AB48" s="29"/>
    </row>
    <row r="49" spans="24:25" ht="17.45" customHeight="1" x14ac:dyDescent="0.25">
      <c r="X49" s="198"/>
      <c r="Y49" s="29"/>
    </row>
    <row r="50" spans="24:25" ht="17.45" customHeight="1" x14ac:dyDescent="0.25">
      <c r="X50" s="198"/>
      <c r="Y50" s="29"/>
    </row>
    <row r="51" spans="24:25" ht="17.45" customHeight="1" x14ac:dyDescent="0.25">
      <c r="X51" s="548" t="s">
        <v>1510</v>
      </c>
      <c r="Y51" s="29"/>
    </row>
    <row r="52" spans="24:25" ht="17.45" customHeight="1" x14ac:dyDescent="0.25">
      <c r="X52" s="198" t="s">
        <v>1511</v>
      </c>
      <c r="Y52" s="28"/>
    </row>
    <row r="53" spans="24:25" ht="17.45" customHeight="1" x14ac:dyDescent="0.25">
      <c r="X53" s="198" t="s">
        <v>1512</v>
      </c>
      <c r="Y53" s="28"/>
    </row>
    <row r="54" spans="24:25" ht="17.45" customHeight="1" x14ac:dyDescent="0.25">
      <c r="X54" s="198" t="s">
        <v>1513</v>
      </c>
      <c r="Y54" s="28"/>
    </row>
    <row r="55" spans="24:25" ht="17.45" customHeight="1" x14ac:dyDescent="0.25">
      <c r="X55" s="198" t="s">
        <v>1514</v>
      </c>
      <c r="Y55" s="28"/>
    </row>
    <row r="56" spans="24:25" ht="17.45" customHeight="1" x14ac:dyDescent="0.25">
      <c r="X56" s="198" t="s">
        <v>1515</v>
      </c>
      <c r="Y56" s="28"/>
    </row>
    <row r="57" spans="24:25" ht="17.45" customHeight="1" x14ac:dyDescent="0.25">
      <c r="X57" s="198" t="s">
        <v>1516</v>
      </c>
      <c r="Y57" s="28"/>
    </row>
    <row r="58" spans="24:25" ht="17.45" customHeight="1" x14ac:dyDescent="0.25">
      <c r="X58" s="198" t="s">
        <v>1517</v>
      </c>
      <c r="Y58" s="28"/>
    </row>
    <row r="59" spans="24:25" ht="17.45" customHeight="1" x14ac:dyDescent="0.25">
      <c r="X59" s="198" t="s">
        <v>1518</v>
      </c>
      <c r="Y59" s="28"/>
    </row>
    <row r="60" spans="24:25" ht="17.45" customHeight="1" x14ac:dyDescent="0.25">
      <c r="X60" s="198" t="s">
        <v>1519</v>
      </c>
      <c r="Y60" s="28"/>
    </row>
    <row r="61" spans="24:25" ht="17.45" customHeight="1" x14ac:dyDescent="0.25">
      <c r="X61" s="198" t="s">
        <v>1520</v>
      </c>
      <c r="Y61" s="28"/>
    </row>
    <row r="62" spans="24:25" ht="17.45" customHeight="1" x14ac:dyDescent="0.25">
      <c r="X62" s="198" t="s">
        <v>1521</v>
      </c>
      <c r="Y62" s="28"/>
    </row>
    <row r="63" spans="24:25" ht="17.45" customHeight="1" x14ac:dyDescent="0.25">
      <c r="X63" s="198" t="s">
        <v>1522</v>
      </c>
      <c r="Y63" s="28"/>
    </row>
    <row r="64" spans="24:25" ht="17.45" customHeight="1" x14ac:dyDescent="0.25">
      <c r="X64" s="198" t="s">
        <v>1523</v>
      </c>
      <c r="Y64" s="29"/>
    </row>
    <row r="65" spans="24:25" ht="17.45" customHeight="1" x14ac:dyDescent="0.25">
      <c r="X65" s="198" t="s">
        <v>1524</v>
      </c>
      <c r="Y65" s="29"/>
    </row>
    <row r="66" spans="24:25" ht="17.45" customHeight="1" x14ac:dyDescent="0.25">
      <c r="X66" s="198" t="s">
        <v>1525</v>
      </c>
      <c r="Y66" s="29"/>
    </row>
    <row r="67" spans="24:25" ht="17.45" customHeight="1" x14ac:dyDescent="0.25">
      <c r="X67" s="198" t="s">
        <v>1526</v>
      </c>
      <c r="Y67" s="29"/>
    </row>
    <row r="68" spans="24:25" ht="17.45" customHeight="1" x14ac:dyDescent="0.25">
      <c r="X68" s="198" t="s">
        <v>1527</v>
      </c>
    </row>
    <row r="69" spans="24:25" ht="17.45" customHeight="1" x14ac:dyDescent="0.25">
      <c r="X69" s="198" t="s">
        <v>1528</v>
      </c>
    </row>
    <row r="70" spans="24:25" ht="17.45" customHeight="1" x14ac:dyDescent="0.25">
      <c r="X70" s="198" t="s">
        <v>1529</v>
      </c>
    </row>
    <row r="71" spans="24:25" ht="17.45" customHeight="1" x14ac:dyDescent="0.25"/>
    <row r="72" spans="24:25" ht="17.45" customHeight="1" x14ac:dyDescent="0.25">
      <c r="X72" s="29" t="s">
        <v>1530</v>
      </c>
    </row>
    <row r="73" spans="24:25" ht="17.45" customHeight="1" x14ac:dyDescent="0.25"/>
    <row r="74" spans="24:25" ht="17.45" customHeight="1" x14ac:dyDescent="0.25"/>
  </sheetData>
  <mergeCells count="61">
    <mergeCell ref="H7:H9"/>
    <mergeCell ref="A1:C3"/>
    <mergeCell ref="D7:D9"/>
    <mergeCell ref="E7:E9"/>
    <mergeCell ref="F7:F9"/>
    <mergeCell ref="G7:G9"/>
    <mergeCell ref="I7:I9"/>
    <mergeCell ref="J7:J9"/>
    <mergeCell ref="K7:R7"/>
    <mergeCell ref="S7:V7"/>
    <mergeCell ref="W7:W9"/>
    <mergeCell ref="K8:K9"/>
    <mergeCell ref="L8:L9"/>
    <mergeCell ref="M8:M9"/>
    <mergeCell ref="N8:N9"/>
    <mergeCell ref="AV7:AV9"/>
    <mergeCell ref="AL8:AL9"/>
    <mergeCell ref="AM8:AM9"/>
    <mergeCell ref="AN8:AN9"/>
    <mergeCell ref="AO8:AO9"/>
    <mergeCell ref="AT8:AT9"/>
    <mergeCell ref="AU8:AU9"/>
    <mergeCell ref="AR7:AU7"/>
    <mergeCell ref="AA8:AA9"/>
    <mergeCell ref="O8:O9"/>
    <mergeCell ref="P8:P9"/>
    <mergeCell ref="Q8:Q9"/>
    <mergeCell ref="R8:R9"/>
    <mergeCell ref="S8:S9"/>
    <mergeCell ref="T8:T9"/>
    <mergeCell ref="U8:U9"/>
    <mergeCell ref="V8:V9"/>
    <mergeCell ref="X8:X9"/>
    <mergeCell ref="Y8:Y9"/>
    <mergeCell ref="Z8:Z9"/>
    <mergeCell ref="AB8:AB9"/>
    <mergeCell ref="AC8:AC9"/>
    <mergeCell ref="AD8:AD9"/>
    <mergeCell ref="AE8:AE9"/>
    <mergeCell ref="AJ8:AJ9"/>
    <mergeCell ref="AF7:AF9"/>
    <mergeCell ref="AG23:AG27"/>
    <mergeCell ref="AP8:AP9"/>
    <mergeCell ref="AQ8:AQ9"/>
    <mergeCell ref="AR8:AR9"/>
    <mergeCell ref="AS8:AS9"/>
    <mergeCell ref="AK8:AK9"/>
    <mergeCell ref="AG7:AG9"/>
    <mergeCell ref="AH7:AH9"/>
    <mergeCell ref="AI7:AI9"/>
    <mergeCell ref="AJ7:AQ7"/>
    <mergeCell ref="A10:C10"/>
    <mergeCell ref="AC23:AC27"/>
    <mergeCell ref="AD23:AD27"/>
    <mergeCell ref="AE23:AE27"/>
    <mergeCell ref="AF23:AF27"/>
    <mergeCell ref="AC28:AC34"/>
    <mergeCell ref="AD28:AD34"/>
    <mergeCell ref="AE28:AE34"/>
    <mergeCell ref="AF28:AF34"/>
    <mergeCell ref="AG28:AG34"/>
  </mergeCells>
  <dataValidations count="2">
    <dataValidation type="list" allowBlank="1" showInputMessage="1" showErrorMessage="1" sqref="AH10:AH17" xr:uid="{5B9C5CA9-84C9-4889-A86A-88B414CC264B}">
      <formula1>"Completed, In Progress, Funded, Under Consideration, Rejected, Not Proposed"</formula1>
    </dataValidation>
    <dataValidation type="list" allowBlank="1" showInputMessage="1" showErrorMessage="1" sqref="AG10:AG17" xr:uid="{C19F643B-C082-45BA-A710-B9BCA6C19564}">
      <formula1>"High, Medium, Low"</formula1>
    </dataValidation>
  </dataValidation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7628E-A801-48A1-B1A3-18BF961F0132}">
  <dimension ref="A1:AB54"/>
  <sheetViews>
    <sheetView topLeftCell="A8" workbookViewId="0">
      <selection activeCell="C36" sqref="C36:AB40"/>
    </sheetView>
  </sheetViews>
  <sheetFormatPr defaultRowHeight="15" x14ac:dyDescent="0.25"/>
  <cols>
    <col min="1" max="3" width="4" customWidth="1"/>
    <col min="4" max="4" width="10.85546875" customWidth="1"/>
    <col min="5" max="5" width="31.28515625" customWidth="1"/>
    <col min="6" max="6" width="4.85546875" customWidth="1"/>
    <col min="7" max="9" width="5.85546875" customWidth="1"/>
    <col min="10" max="15" width="4.85546875" customWidth="1"/>
    <col min="17" max="17" width="10.7109375" customWidth="1"/>
    <col min="18" max="18" width="5.28515625" customWidth="1"/>
    <col min="19" max="19" width="1.85546875" customWidth="1"/>
    <col min="20" max="20" width="3.7109375" customWidth="1"/>
    <col min="21" max="21" width="12.28515625" customWidth="1"/>
    <col min="27" max="28" width="5" customWidth="1"/>
    <col min="29" max="29" width="11.85546875" customWidth="1"/>
  </cols>
  <sheetData>
    <row r="1" spans="1:28" ht="45" x14ac:dyDescent="0.5">
      <c r="A1" s="722">
        <v>9</v>
      </c>
      <c r="B1" s="723"/>
      <c r="C1" s="724"/>
      <c r="D1" s="151" t="s">
        <v>1531</v>
      </c>
      <c r="E1" s="1"/>
      <c r="G1" s="549"/>
      <c r="H1" s="492" t="s">
        <v>1532</v>
      </c>
      <c r="I1" s="550"/>
      <c r="Q1" s="488" t="s">
        <v>1126</v>
      </c>
      <c r="R1" s="551" t="s">
        <v>1533</v>
      </c>
      <c r="S1" s="552"/>
      <c r="T1" s="552"/>
      <c r="U1" s="552"/>
      <c r="V1" s="552"/>
      <c r="W1" s="552"/>
      <c r="X1" s="552"/>
      <c r="Y1" s="552"/>
      <c r="Z1" s="553"/>
      <c r="AA1" s="491"/>
    </row>
    <row r="2" spans="1:28" ht="36" x14ac:dyDescent="0.25">
      <c r="A2" s="725"/>
      <c r="B2" s="726"/>
      <c r="C2" s="727"/>
      <c r="D2" s="1"/>
      <c r="E2" s="33" t="s">
        <v>1534</v>
      </c>
      <c r="R2" s="554"/>
      <c r="S2" s="555" t="s">
        <v>1535</v>
      </c>
      <c r="T2" s="556"/>
      <c r="U2" s="556"/>
      <c r="V2" s="556"/>
      <c r="W2" s="556"/>
      <c r="X2" s="556"/>
      <c r="Y2" s="556"/>
      <c r="Z2" s="556"/>
      <c r="AA2" s="494"/>
    </row>
    <row r="3" spans="1:28" ht="36" customHeight="1" x14ac:dyDescent="0.25">
      <c r="A3" s="728"/>
      <c r="B3" s="729"/>
      <c r="C3" s="730"/>
      <c r="E3" s="909" t="s">
        <v>1536</v>
      </c>
      <c r="F3" s="910"/>
      <c r="G3" s="910"/>
      <c r="H3" s="910"/>
      <c r="I3" s="910"/>
      <c r="J3" s="910"/>
      <c r="K3" s="910"/>
      <c r="L3" s="910"/>
      <c r="M3" s="910"/>
      <c r="N3" s="910"/>
      <c r="O3" s="910"/>
      <c r="P3" s="910"/>
      <c r="Q3" s="911"/>
      <c r="R3" s="554"/>
      <c r="S3" s="555" t="s">
        <v>1537</v>
      </c>
      <c r="T3" s="556"/>
      <c r="U3" s="556"/>
      <c r="V3" s="556"/>
      <c r="W3" s="556"/>
      <c r="X3" s="556"/>
      <c r="Y3" s="556"/>
      <c r="Z3" s="556"/>
      <c r="AA3" s="494"/>
    </row>
    <row r="4" spans="1:28" ht="31.5" customHeight="1" x14ac:dyDescent="0.25">
      <c r="E4" s="912"/>
      <c r="F4" s="913"/>
      <c r="G4" s="913"/>
      <c r="H4" s="913"/>
      <c r="I4" s="913"/>
      <c r="J4" s="913"/>
      <c r="K4" s="913"/>
      <c r="L4" s="913"/>
      <c r="M4" s="913"/>
      <c r="N4" s="913"/>
      <c r="O4" s="913"/>
      <c r="P4" s="913"/>
      <c r="Q4" s="914"/>
      <c r="R4" s="554"/>
      <c r="S4" s="555" t="s">
        <v>1538</v>
      </c>
      <c r="T4" s="556"/>
      <c r="U4" s="556"/>
      <c r="V4" s="556"/>
      <c r="W4" s="556"/>
      <c r="X4" s="556"/>
      <c r="Y4" s="556"/>
      <c r="Z4" s="556"/>
      <c r="AA4" s="494"/>
    </row>
    <row r="5" spans="1:28" x14ac:dyDescent="0.25">
      <c r="R5" s="554"/>
      <c r="S5" s="555" t="s">
        <v>1539</v>
      </c>
      <c r="T5" s="556"/>
      <c r="U5" s="556"/>
      <c r="V5" s="556"/>
      <c r="W5" s="556"/>
      <c r="X5" s="556"/>
      <c r="Y5" s="556"/>
      <c r="Z5" s="556"/>
      <c r="AA5" s="494"/>
    </row>
    <row r="6" spans="1:28" ht="14.25" customHeight="1" x14ac:dyDescent="0.25">
      <c r="R6" s="554"/>
      <c r="S6" s="915" t="s">
        <v>1540</v>
      </c>
      <c r="T6" s="916"/>
      <c r="U6" s="916"/>
      <c r="V6" s="916"/>
      <c r="W6" s="916"/>
      <c r="X6" s="916"/>
      <c r="Y6" s="916"/>
      <c r="Z6" s="916"/>
      <c r="AA6" s="494"/>
    </row>
    <row r="7" spans="1:28" ht="23.25" x14ac:dyDescent="0.25">
      <c r="A7" s="557" t="s">
        <v>1541</v>
      </c>
      <c r="C7" s="557"/>
      <c r="R7" s="917" t="s">
        <v>1542</v>
      </c>
      <c r="S7" s="918"/>
      <c r="T7" s="918"/>
      <c r="U7" s="918"/>
      <c r="V7" s="918"/>
      <c r="W7" s="918"/>
      <c r="X7" s="918"/>
      <c r="Y7" s="918"/>
      <c r="Z7" s="918"/>
      <c r="AA7" s="919"/>
    </row>
    <row r="8" spans="1:28" ht="15.75" thickBot="1" x14ac:dyDescent="0.3">
      <c r="C8" s="1"/>
    </row>
    <row r="9" spans="1:28" ht="15.75" thickBot="1" x14ac:dyDescent="0.3">
      <c r="C9" s="920" t="s">
        <v>1543</v>
      </c>
      <c r="D9" s="921"/>
      <c r="E9" s="921"/>
      <c r="F9" s="921"/>
      <c r="G9" s="921"/>
      <c r="H9" s="921"/>
      <c r="I9" s="921"/>
      <c r="J9" s="921"/>
      <c r="K9" s="921"/>
      <c r="L9" s="921"/>
      <c r="M9" s="921"/>
      <c r="N9" s="921"/>
      <c r="O9" s="921"/>
      <c r="P9" s="921"/>
      <c r="Q9" s="921"/>
      <c r="R9" s="921"/>
      <c r="S9" s="921"/>
      <c r="T9" s="921"/>
      <c r="U9" s="921"/>
      <c r="V9" s="921"/>
      <c r="W9" s="922"/>
      <c r="X9" s="906" t="s">
        <v>1544</v>
      </c>
      <c r="Y9" s="907"/>
      <c r="Z9" s="907"/>
      <c r="AA9" s="907"/>
      <c r="AB9" s="908"/>
    </row>
    <row r="10" spans="1:28" ht="15.75" thickBot="1" x14ac:dyDescent="0.3">
      <c r="C10" s="923"/>
      <c r="D10" s="924"/>
      <c r="E10" s="924"/>
      <c r="F10" s="924"/>
      <c r="G10" s="924"/>
      <c r="H10" s="924"/>
      <c r="I10" s="924"/>
      <c r="J10" s="924"/>
      <c r="K10" s="924"/>
      <c r="L10" s="924"/>
      <c r="M10" s="924"/>
      <c r="N10" s="924"/>
      <c r="O10" s="924"/>
      <c r="P10" s="924"/>
      <c r="Q10" s="924"/>
      <c r="R10" s="924"/>
      <c r="S10" s="924"/>
      <c r="T10" s="924"/>
      <c r="U10" s="924"/>
      <c r="V10" s="924"/>
      <c r="W10" s="925"/>
      <c r="X10" s="929"/>
      <c r="Y10" s="930"/>
      <c r="Z10" s="930"/>
      <c r="AA10" s="930"/>
      <c r="AB10" s="931"/>
    </row>
    <row r="11" spans="1:28" ht="15.75" thickBot="1" x14ac:dyDescent="0.3">
      <c r="C11" s="923"/>
      <c r="D11" s="924"/>
      <c r="E11" s="924"/>
      <c r="F11" s="924"/>
      <c r="G11" s="924"/>
      <c r="H11" s="924"/>
      <c r="I11" s="924"/>
      <c r="J11" s="924"/>
      <c r="K11" s="924"/>
      <c r="L11" s="924"/>
      <c r="M11" s="924"/>
      <c r="N11" s="924"/>
      <c r="O11" s="924"/>
      <c r="P11" s="924"/>
      <c r="Q11" s="924"/>
      <c r="R11" s="924"/>
      <c r="S11" s="924"/>
      <c r="T11" s="924"/>
      <c r="U11" s="924"/>
      <c r="V11" s="924"/>
      <c r="W11" s="925"/>
      <c r="X11" s="906" t="s">
        <v>1545</v>
      </c>
      <c r="Y11" s="907"/>
      <c r="Z11" s="907"/>
      <c r="AA11" s="907"/>
      <c r="AB11" s="908"/>
    </row>
    <row r="12" spans="1:28" ht="15.75" thickBot="1" x14ac:dyDescent="0.3">
      <c r="C12" s="926"/>
      <c r="D12" s="927"/>
      <c r="E12" s="927"/>
      <c r="F12" s="927"/>
      <c r="G12" s="927"/>
      <c r="H12" s="927"/>
      <c r="I12" s="927"/>
      <c r="J12" s="927"/>
      <c r="K12" s="927"/>
      <c r="L12" s="927"/>
      <c r="M12" s="927"/>
      <c r="N12" s="927"/>
      <c r="O12" s="927"/>
      <c r="P12" s="927"/>
      <c r="Q12" s="927"/>
      <c r="R12" s="927"/>
      <c r="S12" s="927"/>
      <c r="T12" s="927"/>
      <c r="U12" s="927"/>
      <c r="V12" s="927"/>
      <c r="W12" s="928"/>
      <c r="X12" s="932"/>
      <c r="Y12" s="933"/>
      <c r="Z12" s="933"/>
      <c r="AA12" s="933"/>
      <c r="AB12" s="934"/>
    </row>
    <row r="13" spans="1:28" ht="15.75" thickBot="1" x14ac:dyDescent="0.3">
      <c r="C13" s="558" t="s">
        <v>1546</v>
      </c>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c r="AB13" s="560"/>
    </row>
    <row r="14" spans="1:28" ht="15.75" thickBot="1" x14ac:dyDescent="0.3">
      <c r="C14" s="901" t="s">
        <v>1547</v>
      </c>
      <c r="D14" s="902"/>
      <c r="E14" s="902"/>
      <c r="F14" s="902"/>
      <c r="G14" s="902"/>
      <c r="H14" s="902"/>
      <c r="I14" s="902"/>
      <c r="J14" s="902"/>
      <c r="K14" s="902"/>
      <c r="L14" s="902"/>
      <c r="M14" s="902"/>
      <c r="N14" s="561"/>
      <c r="O14" s="903" t="s">
        <v>1548</v>
      </c>
      <c r="P14" s="904"/>
      <c r="Q14" s="904"/>
      <c r="R14" s="904"/>
      <c r="S14" s="904"/>
      <c r="T14" s="904"/>
      <c r="U14" s="904"/>
      <c r="V14" s="904"/>
      <c r="W14" s="904"/>
      <c r="X14" s="904"/>
      <c r="Y14" s="904"/>
      <c r="Z14" s="904"/>
      <c r="AA14" s="904"/>
      <c r="AB14" s="905"/>
    </row>
    <row r="15" spans="1:28" ht="15.75" thickBot="1" x14ac:dyDescent="0.3">
      <c r="C15" s="901" t="s">
        <v>1549</v>
      </c>
      <c r="D15" s="902"/>
      <c r="E15" s="902"/>
      <c r="F15" s="902"/>
      <c r="G15" s="902"/>
      <c r="H15" s="902"/>
      <c r="I15" s="902"/>
      <c r="J15" s="902"/>
      <c r="K15" s="902"/>
      <c r="L15" s="902"/>
      <c r="M15" s="902"/>
      <c r="N15" s="562"/>
      <c r="O15" s="903" t="s">
        <v>1550</v>
      </c>
      <c r="P15" s="904"/>
      <c r="Q15" s="904"/>
      <c r="R15" s="904"/>
      <c r="S15" s="904"/>
      <c r="T15" s="904"/>
      <c r="U15" s="904"/>
      <c r="V15" s="904"/>
      <c r="W15" s="904"/>
      <c r="X15" s="904"/>
      <c r="Y15" s="904"/>
      <c r="Z15" s="904"/>
      <c r="AA15" s="904"/>
      <c r="AB15" s="905"/>
    </row>
    <row r="16" spans="1:28" ht="15.75" thickBot="1" x14ac:dyDescent="0.3">
      <c r="C16" s="563"/>
      <c r="D16" s="899" t="s">
        <v>1551</v>
      </c>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900"/>
    </row>
    <row r="17" spans="3:28" ht="15.75" thickBot="1" x14ac:dyDescent="0.3">
      <c r="C17" s="906" t="s">
        <v>1552</v>
      </c>
      <c r="D17" s="907"/>
      <c r="E17" s="907"/>
      <c r="F17" s="907"/>
      <c r="G17" s="907"/>
      <c r="H17" s="907"/>
      <c r="I17" s="907"/>
      <c r="J17" s="907"/>
      <c r="K17" s="908"/>
      <c r="L17" s="906" t="s">
        <v>1553</v>
      </c>
      <c r="M17" s="907"/>
      <c r="N17" s="907"/>
      <c r="O17" s="907"/>
      <c r="P17" s="908"/>
      <c r="Q17" s="906" t="s">
        <v>1554</v>
      </c>
      <c r="R17" s="907"/>
      <c r="S17" s="908"/>
      <c r="T17" s="906" t="s">
        <v>1555</v>
      </c>
      <c r="U17" s="908"/>
      <c r="V17" s="906" t="s">
        <v>1556</v>
      </c>
      <c r="W17" s="907"/>
      <c r="X17" s="907"/>
      <c r="Y17" s="907"/>
      <c r="Z17" s="907"/>
      <c r="AA17" s="907"/>
      <c r="AB17" s="908"/>
    </row>
    <row r="18" spans="3:28" ht="15.75" thickBot="1" x14ac:dyDescent="0.3">
      <c r="C18" s="842"/>
      <c r="D18" s="843"/>
      <c r="E18" s="843"/>
      <c r="F18" s="843"/>
      <c r="G18" s="843"/>
      <c r="H18" s="843"/>
      <c r="I18" s="843"/>
      <c r="J18" s="843"/>
      <c r="K18" s="844"/>
      <c r="L18" s="863"/>
      <c r="M18" s="879"/>
      <c r="N18" s="879"/>
      <c r="O18" s="879"/>
      <c r="P18" s="864"/>
      <c r="Q18" s="863"/>
      <c r="R18" s="879"/>
      <c r="S18" s="864"/>
      <c r="T18" s="842"/>
      <c r="U18" s="844"/>
      <c r="V18" s="842"/>
      <c r="W18" s="843"/>
      <c r="X18" s="843"/>
      <c r="Y18" s="843"/>
      <c r="Z18" s="843"/>
      <c r="AA18" s="843"/>
      <c r="AB18" s="844"/>
    </row>
    <row r="19" spans="3:28" ht="15.75" thickBot="1" x14ac:dyDescent="0.3">
      <c r="C19" s="842"/>
      <c r="D19" s="843"/>
      <c r="E19" s="843"/>
      <c r="F19" s="843"/>
      <c r="G19" s="843"/>
      <c r="H19" s="843"/>
      <c r="I19" s="843"/>
      <c r="J19" s="843"/>
      <c r="K19" s="844"/>
      <c r="L19" s="863"/>
      <c r="M19" s="879"/>
      <c r="N19" s="879"/>
      <c r="O19" s="879"/>
      <c r="P19" s="864"/>
      <c r="Q19" s="863"/>
      <c r="R19" s="879"/>
      <c r="S19" s="864"/>
      <c r="T19" s="842"/>
      <c r="U19" s="844"/>
      <c r="V19" s="842"/>
      <c r="W19" s="843"/>
      <c r="X19" s="843"/>
      <c r="Y19" s="843"/>
      <c r="Z19" s="843"/>
      <c r="AA19" s="843"/>
      <c r="AB19" s="844"/>
    </row>
    <row r="20" spans="3:28" ht="15.75" thickBot="1" x14ac:dyDescent="0.3">
      <c r="C20" s="842"/>
      <c r="D20" s="843"/>
      <c r="E20" s="843"/>
      <c r="F20" s="843"/>
      <c r="G20" s="843"/>
      <c r="H20" s="843"/>
      <c r="I20" s="843"/>
      <c r="J20" s="843"/>
      <c r="K20" s="844"/>
      <c r="L20" s="863"/>
      <c r="M20" s="879"/>
      <c r="N20" s="879"/>
      <c r="O20" s="879"/>
      <c r="P20" s="864"/>
      <c r="Q20" s="863"/>
      <c r="R20" s="879"/>
      <c r="S20" s="864"/>
      <c r="T20" s="842"/>
      <c r="U20" s="844"/>
      <c r="V20" s="842"/>
      <c r="W20" s="843"/>
      <c r="X20" s="843"/>
      <c r="Y20" s="843"/>
      <c r="Z20" s="843"/>
      <c r="AA20" s="843"/>
      <c r="AB20" s="844"/>
    </row>
    <row r="21" spans="3:28" ht="15.75" thickBot="1" x14ac:dyDescent="0.3">
      <c r="C21" s="842"/>
      <c r="D21" s="843"/>
      <c r="E21" s="843"/>
      <c r="F21" s="843"/>
      <c r="G21" s="843"/>
      <c r="H21" s="843"/>
      <c r="I21" s="843"/>
      <c r="J21" s="843"/>
      <c r="K21" s="844"/>
      <c r="L21" s="863"/>
      <c r="M21" s="879"/>
      <c r="N21" s="879"/>
      <c r="O21" s="879"/>
      <c r="P21" s="864"/>
      <c r="Q21" s="863"/>
      <c r="R21" s="879"/>
      <c r="S21" s="864"/>
      <c r="T21" s="842"/>
      <c r="U21" s="844"/>
      <c r="V21" s="842"/>
      <c r="W21" s="843"/>
      <c r="X21" s="843"/>
      <c r="Y21" s="843"/>
      <c r="Z21" s="843"/>
      <c r="AA21" s="843"/>
      <c r="AB21" s="844"/>
    </row>
    <row r="22" spans="3:28" ht="15.75" thickBot="1" x14ac:dyDescent="0.3">
      <c r="C22" s="842"/>
      <c r="D22" s="843"/>
      <c r="E22" s="843"/>
      <c r="F22" s="843"/>
      <c r="G22" s="843"/>
      <c r="H22" s="843"/>
      <c r="I22" s="843"/>
      <c r="J22" s="843"/>
      <c r="K22" s="844"/>
      <c r="L22" s="863"/>
      <c r="M22" s="879"/>
      <c r="N22" s="879"/>
      <c r="O22" s="879"/>
      <c r="P22" s="864"/>
      <c r="Q22" s="863"/>
      <c r="R22" s="879"/>
      <c r="S22" s="864"/>
      <c r="T22" s="842"/>
      <c r="U22" s="844"/>
      <c r="V22" s="842"/>
      <c r="W22" s="843"/>
      <c r="X22" s="843"/>
      <c r="Y22" s="843"/>
      <c r="Z22" s="843"/>
      <c r="AA22" s="843"/>
      <c r="AB22" s="844"/>
    </row>
    <row r="23" spans="3:28" ht="15.75" thickBot="1" x14ac:dyDescent="0.3">
      <c r="C23" s="842"/>
      <c r="D23" s="843"/>
      <c r="E23" s="843"/>
      <c r="F23" s="843"/>
      <c r="G23" s="843"/>
      <c r="H23" s="843"/>
      <c r="I23" s="843"/>
      <c r="J23" s="843"/>
      <c r="K23" s="844"/>
      <c r="L23" s="863"/>
      <c r="M23" s="879"/>
      <c r="N23" s="879"/>
      <c r="O23" s="879"/>
      <c r="P23" s="864"/>
      <c r="Q23" s="863"/>
      <c r="R23" s="879"/>
      <c r="S23" s="864"/>
      <c r="T23" s="842"/>
      <c r="U23" s="844"/>
      <c r="V23" s="842"/>
      <c r="W23" s="843"/>
      <c r="X23" s="843"/>
      <c r="Y23" s="843"/>
      <c r="Z23" s="843"/>
      <c r="AA23" s="843"/>
      <c r="AB23" s="844"/>
    </row>
    <row r="24" spans="3:28" ht="15.75" thickBot="1" x14ac:dyDescent="0.3">
      <c r="C24" s="842"/>
      <c r="D24" s="843"/>
      <c r="E24" s="843"/>
      <c r="F24" s="843"/>
      <c r="G24" s="843"/>
      <c r="H24" s="843"/>
      <c r="I24" s="843"/>
      <c r="J24" s="843"/>
      <c r="K24" s="844"/>
      <c r="L24" s="863"/>
      <c r="M24" s="879"/>
      <c r="N24" s="879"/>
      <c r="O24" s="879"/>
      <c r="P24" s="864"/>
      <c r="Q24" s="863"/>
      <c r="R24" s="879"/>
      <c r="S24" s="864"/>
      <c r="T24" s="842"/>
      <c r="U24" s="844"/>
      <c r="V24" s="842"/>
      <c r="W24" s="843"/>
      <c r="X24" s="843"/>
      <c r="Y24" s="843"/>
      <c r="Z24" s="843"/>
      <c r="AA24" s="843"/>
      <c r="AB24" s="844"/>
    </row>
    <row r="25" spans="3:28" ht="15.75" thickBot="1" x14ac:dyDescent="0.3">
      <c r="C25" s="563"/>
      <c r="D25" s="899" t="s">
        <v>1557</v>
      </c>
      <c r="E25" s="899"/>
      <c r="F25" s="899"/>
      <c r="G25" s="899"/>
      <c r="H25" s="899"/>
      <c r="I25" s="899"/>
      <c r="J25" s="899"/>
      <c r="K25" s="899"/>
      <c r="L25" s="899"/>
      <c r="M25" s="899"/>
      <c r="N25" s="899"/>
      <c r="O25" s="899"/>
      <c r="P25" s="899"/>
      <c r="Q25" s="899"/>
      <c r="R25" s="899"/>
      <c r="S25" s="899"/>
      <c r="T25" s="899"/>
      <c r="U25" s="899"/>
      <c r="V25" s="899"/>
      <c r="W25" s="899"/>
      <c r="X25" s="899"/>
      <c r="Y25" s="899"/>
      <c r="Z25" s="899"/>
      <c r="AA25" s="899"/>
      <c r="AB25" s="900"/>
    </row>
    <row r="26" spans="3:28" x14ac:dyDescent="0.25">
      <c r="C26" s="883"/>
      <c r="D26" s="884" t="s">
        <v>1558</v>
      </c>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5"/>
    </row>
    <row r="27" spans="3:28" ht="15.75" thickBot="1" x14ac:dyDescent="0.3">
      <c r="C27" s="883"/>
      <c r="D27" s="884"/>
      <c r="E27" s="884"/>
      <c r="F27" s="884"/>
      <c r="G27" s="884"/>
      <c r="H27" s="884"/>
      <c r="I27" s="884"/>
      <c r="J27" s="884"/>
      <c r="K27" s="884"/>
      <c r="L27" s="884"/>
      <c r="M27" s="884"/>
      <c r="N27" s="884"/>
      <c r="O27" s="884"/>
      <c r="P27" s="884"/>
      <c r="Q27" s="884"/>
      <c r="R27" s="884"/>
      <c r="S27" s="884"/>
      <c r="T27" s="884"/>
      <c r="U27" s="884"/>
      <c r="V27" s="884"/>
      <c r="W27" s="884"/>
      <c r="X27" s="884"/>
      <c r="Y27" s="884"/>
      <c r="Z27" s="884"/>
      <c r="AA27" s="884"/>
      <c r="AB27" s="885"/>
    </row>
    <row r="28" spans="3:28" x14ac:dyDescent="0.25">
      <c r="C28" s="886" t="s">
        <v>1559</v>
      </c>
      <c r="D28" s="887"/>
      <c r="E28" s="887"/>
      <c r="F28" s="888"/>
      <c r="G28" s="886" t="s">
        <v>1560</v>
      </c>
      <c r="H28" s="892"/>
      <c r="I28" s="892"/>
      <c r="J28" s="886" t="s">
        <v>1561</v>
      </c>
      <c r="K28" s="892"/>
      <c r="L28" s="895"/>
      <c r="M28" s="886" t="s">
        <v>1562</v>
      </c>
      <c r="N28" s="887"/>
      <c r="O28" s="888"/>
      <c r="P28" s="886" t="s">
        <v>1563</v>
      </c>
      <c r="Q28" s="887"/>
      <c r="R28" s="887"/>
      <c r="S28" s="887"/>
      <c r="T28" s="887"/>
      <c r="U28" s="887"/>
      <c r="V28" s="887"/>
      <c r="W28" s="887"/>
      <c r="X28" s="888"/>
      <c r="Y28" s="897" t="s">
        <v>1564</v>
      </c>
      <c r="Z28" s="886" t="s">
        <v>1565</v>
      </c>
      <c r="AA28" s="887"/>
      <c r="AB28" s="888"/>
    </row>
    <row r="29" spans="3:28" ht="15.75" thickBot="1" x14ac:dyDescent="0.3">
      <c r="C29" s="889"/>
      <c r="D29" s="890"/>
      <c r="E29" s="890"/>
      <c r="F29" s="891"/>
      <c r="G29" s="893"/>
      <c r="H29" s="894"/>
      <c r="I29" s="894"/>
      <c r="J29" s="893"/>
      <c r="K29" s="894"/>
      <c r="L29" s="896"/>
      <c r="M29" s="889"/>
      <c r="N29" s="890"/>
      <c r="O29" s="891"/>
      <c r="P29" s="889" t="s">
        <v>1566</v>
      </c>
      <c r="Q29" s="890"/>
      <c r="R29" s="890"/>
      <c r="S29" s="890"/>
      <c r="T29" s="890"/>
      <c r="U29" s="890"/>
      <c r="V29" s="890"/>
      <c r="W29" s="890"/>
      <c r="X29" s="891"/>
      <c r="Y29" s="898"/>
      <c r="Z29" s="889"/>
      <c r="AA29" s="890"/>
      <c r="AB29" s="891"/>
    </row>
    <row r="30" spans="3:28" ht="15.75" thickBot="1" x14ac:dyDescent="0.3">
      <c r="C30" s="842"/>
      <c r="D30" s="843"/>
      <c r="E30" s="843"/>
      <c r="F30" s="844"/>
      <c r="G30" s="567"/>
      <c r="H30" s="568"/>
      <c r="I30" s="568"/>
      <c r="J30" s="567"/>
      <c r="K30" s="568"/>
      <c r="L30" s="569"/>
      <c r="M30" s="863"/>
      <c r="N30" s="879"/>
      <c r="O30" s="864"/>
      <c r="P30" s="842"/>
      <c r="Q30" s="843"/>
      <c r="R30" s="843"/>
      <c r="S30" s="843"/>
      <c r="T30" s="843"/>
      <c r="U30" s="843"/>
      <c r="V30" s="843"/>
      <c r="W30" s="843"/>
      <c r="X30" s="844"/>
      <c r="Y30" s="570"/>
      <c r="Z30" s="842"/>
      <c r="AA30" s="843"/>
      <c r="AB30" s="844"/>
    </row>
    <row r="31" spans="3:28" ht="15.75" thickBot="1" x14ac:dyDescent="0.3">
      <c r="C31" s="880"/>
      <c r="D31" s="881"/>
      <c r="E31" s="881"/>
      <c r="F31" s="882"/>
      <c r="G31" s="567"/>
      <c r="H31" s="568"/>
      <c r="I31" s="568"/>
      <c r="J31" s="564"/>
      <c r="K31" s="568"/>
      <c r="L31" s="566"/>
      <c r="M31" s="842"/>
      <c r="N31" s="843"/>
      <c r="O31" s="844"/>
      <c r="P31" s="842"/>
      <c r="Q31" s="843"/>
      <c r="R31" s="843"/>
      <c r="S31" s="843"/>
      <c r="T31" s="843"/>
      <c r="U31" s="843"/>
      <c r="V31" s="843"/>
      <c r="W31" s="843"/>
      <c r="X31" s="844"/>
      <c r="Y31" s="570"/>
      <c r="Z31" s="842"/>
      <c r="AA31" s="843"/>
      <c r="AB31" s="844"/>
    </row>
    <row r="32" spans="3:28" ht="15.75" thickBot="1" x14ac:dyDescent="0.3">
      <c r="C32" s="842"/>
      <c r="D32" s="843"/>
      <c r="E32" s="843"/>
      <c r="F32" s="844"/>
      <c r="G32" s="567"/>
      <c r="H32" s="568"/>
      <c r="I32" s="568"/>
      <c r="J32" s="564"/>
      <c r="K32" s="568"/>
      <c r="L32" s="566"/>
      <c r="M32" s="842"/>
      <c r="N32" s="843"/>
      <c r="O32" s="844"/>
      <c r="P32" s="842"/>
      <c r="Q32" s="843"/>
      <c r="R32" s="843"/>
      <c r="S32" s="843"/>
      <c r="T32" s="843"/>
      <c r="U32" s="843"/>
      <c r="V32" s="843"/>
      <c r="W32" s="843"/>
      <c r="X32" s="844"/>
      <c r="Y32" s="570"/>
      <c r="Z32" s="842"/>
      <c r="AA32" s="843"/>
      <c r="AB32" s="844"/>
    </row>
    <row r="33" spans="3:28" x14ac:dyDescent="0.25">
      <c r="C33" s="873"/>
      <c r="D33" s="875" t="s">
        <v>1567</v>
      </c>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6"/>
    </row>
    <row r="34" spans="3:28" ht="15.75" thickBot="1" x14ac:dyDescent="0.3">
      <c r="C34" s="874"/>
      <c r="D34" s="877"/>
      <c r="E34" s="877"/>
      <c r="F34" s="877"/>
      <c r="G34" s="877"/>
      <c r="H34" s="877"/>
      <c r="I34" s="877"/>
      <c r="J34" s="877"/>
      <c r="K34" s="877"/>
      <c r="L34" s="877"/>
      <c r="M34" s="877"/>
      <c r="N34" s="877"/>
      <c r="O34" s="877"/>
      <c r="P34" s="877"/>
      <c r="Q34" s="877"/>
      <c r="R34" s="877"/>
      <c r="S34" s="877"/>
      <c r="T34" s="877"/>
      <c r="U34" s="877"/>
      <c r="V34" s="877"/>
      <c r="W34" s="877"/>
      <c r="X34" s="877"/>
      <c r="Y34" s="877"/>
      <c r="Z34" s="877"/>
      <c r="AA34" s="877"/>
      <c r="AB34" s="878"/>
    </row>
    <row r="35" spans="3:28" ht="75" customHeight="1" thickBot="1" x14ac:dyDescent="0.3">
      <c r="C35" s="571"/>
      <c r="D35" s="871" t="s">
        <v>1568</v>
      </c>
      <c r="E35" s="871"/>
      <c r="F35" s="871"/>
      <c r="G35" s="871"/>
      <c r="H35" s="871"/>
      <c r="I35" s="871"/>
      <c r="J35" s="871"/>
      <c r="K35" s="871"/>
      <c r="L35" s="871"/>
      <c r="M35" s="871"/>
      <c r="N35" s="871"/>
      <c r="O35" s="871"/>
      <c r="P35" s="871"/>
      <c r="Q35" s="871"/>
      <c r="R35" s="871"/>
      <c r="S35" s="871"/>
      <c r="T35" s="871"/>
      <c r="U35" s="871"/>
      <c r="V35" s="871"/>
      <c r="W35" s="871"/>
      <c r="X35" s="871"/>
      <c r="Y35" s="871"/>
      <c r="Z35" s="871"/>
      <c r="AA35" s="871"/>
      <c r="AB35" s="872"/>
    </row>
    <row r="36" spans="3:28" ht="15.75" thickBot="1" x14ac:dyDescent="0.3">
      <c r="C36" s="842" t="s">
        <v>1569</v>
      </c>
      <c r="D36" s="843"/>
      <c r="E36" s="843"/>
      <c r="F36" s="843"/>
      <c r="G36" s="844"/>
      <c r="H36" s="572"/>
      <c r="I36" s="572"/>
      <c r="J36" s="842" t="s">
        <v>1570</v>
      </c>
      <c r="K36" s="843"/>
      <c r="L36" s="843"/>
      <c r="M36" s="843"/>
      <c r="N36" s="843"/>
      <c r="O36" s="843"/>
      <c r="P36" s="843"/>
      <c r="Q36" s="844"/>
      <c r="R36" s="572"/>
      <c r="S36" s="863"/>
      <c r="T36" s="864"/>
      <c r="U36" s="842" t="s">
        <v>1571</v>
      </c>
      <c r="V36" s="843"/>
      <c r="W36" s="843"/>
      <c r="X36" s="843"/>
      <c r="Y36" s="843"/>
      <c r="Z36" s="844"/>
      <c r="AA36" s="572"/>
      <c r="AB36" s="572"/>
    </row>
    <row r="37" spans="3:28" ht="15.75" thickBot="1" x14ac:dyDescent="0.3">
      <c r="C37" s="842" t="s">
        <v>1572</v>
      </c>
      <c r="D37" s="843"/>
      <c r="E37" s="843"/>
      <c r="F37" s="843"/>
      <c r="G37" s="844"/>
      <c r="H37" s="572"/>
      <c r="I37" s="572"/>
      <c r="J37" s="842" t="s">
        <v>1573</v>
      </c>
      <c r="K37" s="843"/>
      <c r="L37" s="843"/>
      <c r="M37" s="843"/>
      <c r="N37" s="843"/>
      <c r="O37" s="843"/>
      <c r="P37" s="843"/>
      <c r="Q37" s="844"/>
      <c r="R37" s="572"/>
      <c r="S37" s="863"/>
      <c r="T37" s="864"/>
      <c r="U37" s="842" t="s">
        <v>1574</v>
      </c>
      <c r="V37" s="843"/>
      <c r="W37" s="843"/>
      <c r="X37" s="843"/>
      <c r="Y37" s="843"/>
      <c r="Z37" s="844"/>
      <c r="AA37" s="572"/>
      <c r="AB37" s="572"/>
    </row>
    <row r="38" spans="3:28" ht="15.75" thickBot="1" x14ac:dyDescent="0.3">
      <c r="C38" s="842" t="s">
        <v>1575</v>
      </c>
      <c r="D38" s="843"/>
      <c r="E38" s="843"/>
      <c r="F38" s="843"/>
      <c r="G38" s="844"/>
      <c r="H38" s="572"/>
      <c r="I38" s="572"/>
      <c r="J38" s="842" t="s">
        <v>1576</v>
      </c>
      <c r="K38" s="843"/>
      <c r="L38" s="843"/>
      <c r="M38" s="843"/>
      <c r="N38" s="843"/>
      <c r="O38" s="843"/>
      <c r="P38" s="843"/>
      <c r="Q38" s="844"/>
      <c r="R38" s="572"/>
      <c r="S38" s="863"/>
      <c r="T38" s="864"/>
      <c r="U38" s="842" t="s">
        <v>1577</v>
      </c>
      <c r="V38" s="843"/>
      <c r="W38" s="843"/>
      <c r="X38" s="843"/>
      <c r="Y38" s="843"/>
      <c r="Z38" s="844"/>
      <c r="AA38" s="572"/>
      <c r="AB38" s="572"/>
    </row>
    <row r="39" spans="3:28" ht="15.75" thickBot="1" x14ac:dyDescent="0.3">
      <c r="C39" s="842" t="s">
        <v>1578</v>
      </c>
      <c r="D39" s="843"/>
      <c r="E39" s="843"/>
      <c r="F39" s="843"/>
      <c r="G39" s="844"/>
      <c r="H39" s="572"/>
      <c r="I39" s="572"/>
      <c r="J39" s="842" t="s">
        <v>1579</v>
      </c>
      <c r="K39" s="843"/>
      <c r="L39" s="843"/>
      <c r="M39" s="843"/>
      <c r="N39" s="843"/>
      <c r="O39" s="843"/>
      <c r="P39" s="843"/>
      <c r="Q39" s="844"/>
      <c r="R39" s="572"/>
      <c r="S39" s="863"/>
      <c r="T39" s="864"/>
      <c r="U39" s="842" t="s">
        <v>1580</v>
      </c>
      <c r="V39" s="843"/>
      <c r="W39" s="843"/>
      <c r="X39" s="843"/>
      <c r="Y39" s="843"/>
      <c r="Z39" s="844"/>
      <c r="AA39" s="570"/>
      <c r="AB39" s="570"/>
    </row>
    <row r="40" spans="3:28" ht="15.75" thickBot="1" x14ac:dyDescent="0.3">
      <c r="C40" s="842" t="s">
        <v>1581</v>
      </c>
      <c r="D40" s="843"/>
      <c r="E40" s="843"/>
      <c r="F40" s="843"/>
      <c r="G40" s="844"/>
      <c r="H40" s="572"/>
      <c r="I40" s="572"/>
      <c r="J40" s="842" t="s">
        <v>1582</v>
      </c>
      <c r="K40" s="843"/>
      <c r="L40" s="843"/>
      <c r="M40" s="843"/>
      <c r="N40" s="843"/>
      <c r="O40" s="843"/>
      <c r="P40" s="843"/>
      <c r="Q40" s="844"/>
      <c r="R40" s="572"/>
      <c r="S40" s="863"/>
      <c r="T40" s="864"/>
      <c r="U40" s="842" t="s">
        <v>1583</v>
      </c>
      <c r="V40" s="843"/>
      <c r="W40" s="843"/>
      <c r="X40" s="843"/>
      <c r="Y40" s="843"/>
      <c r="Z40" s="844"/>
      <c r="AA40" s="570"/>
      <c r="AB40" s="570"/>
    </row>
    <row r="41" spans="3:28" ht="15.75" x14ac:dyDescent="0.25">
      <c r="C41" s="865"/>
      <c r="D41" s="867" t="s">
        <v>1584</v>
      </c>
      <c r="E41" s="867"/>
      <c r="F41" s="867"/>
      <c r="G41" s="867"/>
      <c r="H41" s="867"/>
      <c r="I41" s="867"/>
      <c r="J41" s="867"/>
      <c r="K41" s="867"/>
      <c r="L41" s="867"/>
      <c r="M41" s="867"/>
      <c r="N41" s="867"/>
      <c r="O41" s="867"/>
      <c r="P41" s="867"/>
      <c r="Q41" s="867"/>
      <c r="R41" s="867"/>
      <c r="S41" s="867"/>
      <c r="T41" s="867"/>
      <c r="U41" s="867"/>
      <c r="V41" s="867"/>
      <c r="W41" s="867"/>
      <c r="X41" s="867"/>
      <c r="Y41" s="867"/>
      <c r="Z41" s="867"/>
      <c r="AA41" s="867"/>
      <c r="AB41" s="868"/>
    </row>
    <row r="42" spans="3:28" ht="15.75" thickBot="1" x14ac:dyDescent="0.3">
      <c r="C42" s="866"/>
      <c r="D42" s="869" t="s">
        <v>1585</v>
      </c>
      <c r="E42" s="869"/>
      <c r="F42" s="869"/>
      <c r="G42" s="869"/>
      <c r="H42" s="869"/>
      <c r="I42" s="869"/>
      <c r="J42" s="869"/>
      <c r="K42" s="869"/>
      <c r="L42" s="869"/>
      <c r="M42" s="869"/>
      <c r="N42" s="869"/>
      <c r="O42" s="869"/>
      <c r="P42" s="869"/>
      <c r="Q42" s="869"/>
      <c r="R42" s="869"/>
      <c r="S42" s="869"/>
      <c r="T42" s="869"/>
      <c r="U42" s="869"/>
      <c r="V42" s="869"/>
      <c r="W42" s="869"/>
      <c r="X42" s="869"/>
      <c r="Y42" s="869"/>
      <c r="Z42" s="869"/>
      <c r="AA42" s="869"/>
      <c r="AB42" s="870"/>
    </row>
    <row r="43" spans="3:28" ht="15.75" thickBot="1" x14ac:dyDescent="0.3">
      <c r="C43" s="573" t="s">
        <v>1374</v>
      </c>
      <c r="D43" s="574"/>
      <c r="E43" s="575" t="s">
        <v>1553</v>
      </c>
      <c r="F43" s="860" t="s">
        <v>1586</v>
      </c>
      <c r="G43" s="861"/>
      <c r="H43" s="861"/>
      <c r="I43" s="861"/>
      <c r="J43" s="861"/>
      <c r="K43" s="861"/>
      <c r="L43" s="861"/>
      <c r="M43" s="861"/>
      <c r="N43" s="861"/>
      <c r="O43" s="861"/>
      <c r="P43" s="861"/>
      <c r="Q43" s="861"/>
      <c r="R43" s="861"/>
      <c r="S43" s="861"/>
      <c r="T43" s="861"/>
      <c r="U43" s="861"/>
      <c r="V43" s="861"/>
      <c r="W43" s="861"/>
      <c r="X43" s="861"/>
      <c r="Y43" s="861"/>
      <c r="Z43" s="861"/>
      <c r="AA43" s="861"/>
      <c r="AB43" s="862"/>
    </row>
    <row r="44" spans="3:28" ht="21" thickBot="1" x14ac:dyDescent="0.3">
      <c r="C44" s="840" t="s">
        <v>1587</v>
      </c>
      <c r="D44" s="841"/>
      <c r="E44" s="578"/>
      <c r="F44" s="857"/>
      <c r="G44" s="858"/>
      <c r="H44" s="858"/>
      <c r="I44" s="858"/>
      <c r="J44" s="858"/>
      <c r="K44" s="858"/>
      <c r="L44" s="858"/>
      <c r="M44" s="858"/>
      <c r="N44" s="858"/>
      <c r="O44" s="858"/>
      <c r="P44" s="858"/>
      <c r="Q44" s="858"/>
      <c r="R44" s="858"/>
      <c r="S44" s="858"/>
      <c r="T44" s="858"/>
      <c r="U44" s="858"/>
      <c r="V44" s="858"/>
      <c r="W44" s="858"/>
      <c r="X44" s="858"/>
      <c r="Y44" s="858"/>
      <c r="Z44" s="858"/>
      <c r="AA44" s="858"/>
      <c r="AB44" s="859"/>
    </row>
    <row r="45" spans="3:28" ht="21" thickBot="1" x14ac:dyDescent="0.3">
      <c r="C45" s="840" t="s">
        <v>1588</v>
      </c>
      <c r="D45" s="841"/>
      <c r="E45" s="578"/>
      <c r="F45" s="857"/>
      <c r="G45" s="858"/>
      <c r="H45" s="858"/>
      <c r="I45" s="858"/>
      <c r="J45" s="858"/>
      <c r="K45" s="858"/>
      <c r="L45" s="858"/>
      <c r="M45" s="858"/>
      <c r="N45" s="858"/>
      <c r="O45" s="858"/>
      <c r="P45" s="858"/>
      <c r="Q45" s="858"/>
      <c r="R45" s="858"/>
      <c r="S45" s="858"/>
      <c r="T45" s="858"/>
      <c r="U45" s="858"/>
      <c r="V45" s="858"/>
      <c r="W45" s="858"/>
      <c r="X45" s="858"/>
      <c r="Y45" s="858"/>
      <c r="Z45" s="858"/>
      <c r="AA45" s="858"/>
      <c r="AB45" s="859"/>
    </row>
    <row r="46" spans="3:28" ht="21" thickBot="1" x14ac:dyDescent="0.3">
      <c r="C46" s="840" t="s">
        <v>1589</v>
      </c>
      <c r="D46" s="841"/>
      <c r="E46" s="578"/>
      <c r="F46" s="857"/>
      <c r="G46" s="858"/>
      <c r="H46" s="858"/>
      <c r="I46" s="858"/>
      <c r="J46" s="858"/>
      <c r="K46" s="858"/>
      <c r="L46" s="858"/>
      <c r="M46" s="858"/>
      <c r="N46" s="858"/>
      <c r="O46" s="858"/>
      <c r="P46" s="858"/>
      <c r="Q46" s="858"/>
      <c r="R46" s="858"/>
      <c r="S46" s="858"/>
      <c r="T46" s="858"/>
      <c r="U46" s="858"/>
      <c r="V46" s="858"/>
      <c r="W46" s="858"/>
      <c r="X46" s="858"/>
      <c r="Y46" s="858"/>
      <c r="Z46" s="858"/>
      <c r="AA46" s="858"/>
      <c r="AB46" s="859"/>
    </row>
    <row r="47" spans="3:28" ht="15.75" thickBot="1" x14ac:dyDescent="0.3">
      <c r="C47" s="840" t="s">
        <v>489</v>
      </c>
      <c r="D47" s="841"/>
      <c r="E47" s="579"/>
      <c r="F47" s="852"/>
      <c r="G47" s="853"/>
      <c r="H47" s="853"/>
      <c r="I47" s="853"/>
      <c r="J47" s="853"/>
      <c r="K47" s="853"/>
      <c r="L47" s="853"/>
      <c r="M47" s="853"/>
      <c r="N47" s="853"/>
      <c r="O47" s="853"/>
      <c r="P47" s="853"/>
      <c r="Q47" s="853"/>
      <c r="R47" s="853"/>
      <c r="S47" s="853"/>
      <c r="T47" s="853"/>
      <c r="U47" s="853"/>
      <c r="V47" s="853"/>
      <c r="W47" s="853"/>
      <c r="X47" s="853"/>
      <c r="Y47" s="853"/>
      <c r="Z47" s="853"/>
      <c r="AA47" s="853"/>
      <c r="AB47" s="854"/>
    </row>
    <row r="48" spans="3:28" ht="21" thickBot="1" x14ac:dyDescent="0.3">
      <c r="C48" s="855" t="s">
        <v>1590</v>
      </c>
      <c r="D48" s="856"/>
      <c r="E48" s="578"/>
      <c r="F48" s="857"/>
      <c r="G48" s="858"/>
      <c r="H48" s="858"/>
      <c r="I48" s="858"/>
      <c r="J48" s="858"/>
      <c r="K48" s="858"/>
      <c r="L48" s="858"/>
      <c r="M48" s="858"/>
      <c r="N48" s="858"/>
      <c r="O48" s="858"/>
      <c r="P48" s="858"/>
      <c r="Q48" s="858"/>
      <c r="R48" s="858"/>
      <c r="S48" s="858"/>
      <c r="T48" s="858"/>
      <c r="U48" s="858"/>
      <c r="V48" s="858"/>
      <c r="W48" s="858"/>
      <c r="X48" s="858"/>
      <c r="Y48" s="858"/>
      <c r="Z48" s="858"/>
      <c r="AA48" s="858"/>
      <c r="AB48" s="859"/>
    </row>
    <row r="49" spans="3:28" ht="38.1" customHeight="1" thickBot="1" x14ac:dyDescent="0.3">
      <c r="C49" s="840" t="s">
        <v>1591</v>
      </c>
      <c r="D49" s="841"/>
      <c r="E49" s="578"/>
      <c r="F49" s="857"/>
      <c r="G49" s="858"/>
      <c r="H49" s="858"/>
      <c r="I49" s="858"/>
      <c r="J49" s="858"/>
      <c r="K49" s="858"/>
      <c r="L49" s="858"/>
      <c r="M49" s="858"/>
      <c r="N49" s="858"/>
      <c r="O49" s="858"/>
      <c r="P49" s="858"/>
      <c r="Q49" s="858"/>
      <c r="R49" s="858"/>
      <c r="S49" s="858"/>
      <c r="T49" s="858"/>
      <c r="U49" s="858"/>
      <c r="V49" s="858"/>
      <c r="W49" s="858"/>
      <c r="X49" s="858"/>
      <c r="Y49" s="858"/>
      <c r="Z49" s="858"/>
      <c r="AA49" s="858"/>
      <c r="AB49" s="859"/>
    </row>
    <row r="50" spans="3:28" ht="15.75" thickBot="1" x14ac:dyDescent="0.3">
      <c r="C50" s="840" t="s">
        <v>1592</v>
      </c>
      <c r="D50" s="841"/>
      <c r="E50" s="570"/>
      <c r="F50" s="842"/>
      <c r="G50" s="843"/>
      <c r="H50" s="843"/>
      <c r="I50" s="843"/>
      <c r="J50" s="843"/>
      <c r="K50" s="843"/>
      <c r="L50" s="843"/>
      <c r="M50" s="843"/>
      <c r="N50" s="843"/>
      <c r="O50" s="843"/>
      <c r="P50" s="843"/>
      <c r="Q50" s="843"/>
      <c r="R50" s="843"/>
      <c r="S50" s="843"/>
      <c r="T50" s="843"/>
      <c r="U50" s="843"/>
      <c r="V50" s="843"/>
      <c r="W50" s="843"/>
      <c r="X50" s="843"/>
      <c r="Y50" s="843"/>
      <c r="Z50" s="843"/>
      <c r="AA50" s="843"/>
      <c r="AB50" s="844"/>
    </row>
    <row r="51" spans="3:28" ht="15.75" thickBot="1" x14ac:dyDescent="0.3">
      <c r="C51" s="576"/>
      <c r="D51" s="577"/>
      <c r="E51" s="570"/>
      <c r="F51" s="564"/>
      <c r="G51" s="565"/>
      <c r="H51" s="565"/>
      <c r="I51" s="565"/>
      <c r="J51" s="565"/>
      <c r="K51" s="565"/>
      <c r="L51" s="565"/>
      <c r="M51" s="565"/>
      <c r="N51" s="565"/>
      <c r="O51" s="565"/>
      <c r="P51" s="565"/>
      <c r="Q51" s="565"/>
      <c r="R51" s="565"/>
      <c r="S51" s="565"/>
      <c r="T51" s="565"/>
      <c r="U51" s="565"/>
      <c r="V51" s="565"/>
      <c r="W51" s="565"/>
      <c r="X51" s="565"/>
      <c r="Y51" s="565"/>
      <c r="Z51" s="565"/>
      <c r="AA51" s="565"/>
      <c r="AB51" s="566"/>
    </row>
    <row r="52" spans="3:28" ht="15.75" thickBot="1" x14ac:dyDescent="0.3">
      <c r="C52" s="845"/>
      <c r="D52" s="846"/>
      <c r="E52" s="570"/>
      <c r="F52" s="842"/>
      <c r="G52" s="843"/>
      <c r="H52" s="843"/>
      <c r="I52" s="843"/>
      <c r="J52" s="843"/>
      <c r="K52" s="843"/>
      <c r="L52" s="843"/>
      <c r="M52" s="843"/>
      <c r="N52" s="843"/>
      <c r="O52" s="843"/>
      <c r="P52" s="843"/>
      <c r="Q52" s="843"/>
      <c r="R52" s="843"/>
      <c r="S52" s="843"/>
      <c r="T52" s="843"/>
      <c r="U52" s="843"/>
      <c r="V52" s="843"/>
      <c r="W52" s="843"/>
      <c r="X52" s="843"/>
      <c r="Y52" s="843"/>
      <c r="Z52" s="843"/>
      <c r="AA52" s="843"/>
      <c r="AB52" s="844"/>
    </row>
    <row r="53" spans="3:28" ht="18.75" thickBot="1" x14ac:dyDescent="0.3">
      <c r="C53" s="580"/>
      <c r="D53" s="847" t="s">
        <v>1593</v>
      </c>
      <c r="E53" s="848"/>
      <c r="F53" s="848"/>
      <c r="G53" s="848"/>
      <c r="H53" s="848"/>
      <c r="I53" s="848"/>
      <c r="J53" s="848"/>
      <c r="K53" s="848"/>
      <c r="L53" s="848"/>
      <c r="M53" s="848"/>
      <c r="N53" s="848"/>
      <c r="O53" s="848"/>
      <c r="P53" s="848"/>
      <c r="Q53" s="848"/>
      <c r="R53" s="848"/>
      <c r="S53" s="848"/>
      <c r="T53" s="848"/>
      <c r="U53" s="848"/>
      <c r="V53" s="848"/>
      <c r="W53" s="848"/>
      <c r="X53" s="848"/>
      <c r="Y53" s="848"/>
      <c r="Z53" s="848"/>
      <c r="AA53" s="848"/>
      <c r="AB53" s="849"/>
    </row>
    <row r="54" spans="3:28" ht="44.45" customHeight="1" thickBot="1" x14ac:dyDescent="0.3">
      <c r="C54" s="581"/>
      <c r="D54" s="850"/>
      <c r="E54" s="850"/>
      <c r="F54" s="850"/>
      <c r="G54" s="850"/>
      <c r="H54" s="850"/>
      <c r="I54" s="850"/>
      <c r="J54" s="850"/>
      <c r="K54" s="850"/>
      <c r="L54" s="850"/>
      <c r="M54" s="850"/>
      <c r="N54" s="850"/>
      <c r="O54" s="850"/>
      <c r="P54" s="850"/>
      <c r="Q54" s="850"/>
      <c r="R54" s="850"/>
      <c r="S54" s="850"/>
      <c r="T54" s="850"/>
      <c r="U54" s="850"/>
      <c r="V54" s="850"/>
      <c r="W54" s="850"/>
      <c r="X54" s="850"/>
      <c r="Y54" s="850"/>
      <c r="Z54" s="850"/>
      <c r="AA54" s="850"/>
      <c r="AB54" s="851"/>
    </row>
  </sheetData>
  <mergeCells count="122">
    <mergeCell ref="A1:C3"/>
    <mergeCell ref="E3:Q4"/>
    <mergeCell ref="S6:Z6"/>
    <mergeCell ref="R7:AA7"/>
    <mergeCell ref="C9:W12"/>
    <mergeCell ref="X9:AB9"/>
    <mergeCell ref="X10:AB10"/>
    <mergeCell ref="X11:AB11"/>
    <mergeCell ref="X12:AB12"/>
    <mergeCell ref="C14:M14"/>
    <mergeCell ref="O14:AB14"/>
    <mergeCell ref="C15:M15"/>
    <mergeCell ref="O15:AB15"/>
    <mergeCell ref="D16:AB16"/>
    <mergeCell ref="C17:K17"/>
    <mergeCell ref="L17:P17"/>
    <mergeCell ref="Q17:S17"/>
    <mergeCell ref="T17:U17"/>
    <mergeCell ref="V17:AB17"/>
    <mergeCell ref="C18:K18"/>
    <mergeCell ref="L18:P18"/>
    <mergeCell ref="Q18:S18"/>
    <mergeCell ref="T18:U18"/>
    <mergeCell ref="V18:AB18"/>
    <mergeCell ref="C19:K19"/>
    <mergeCell ref="L19:P19"/>
    <mergeCell ref="Q19:S19"/>
    <mergeCell ref="T19:U19"/>
    <mergeCell ref="V19:AB19"/>
    <mergeCell ref="C20:K20"/>
    <mergeCell ref="L20:P20"/>
    <mergeCell ref="Q20:S20"/>
    <mergeCell ref="T20:U20"/>
    <mergeCell ref="V20:AB20"/>
    <mergeCell ref="C21:K21"/>
    <mergeCell ref="L21:P21"/>
    <mergeCell ref="Q21:S21"/>
    <mergeCell ref="T21:U21"/>
    <mergeCell ref="V21:AB21"/>
    <mergeCell ref="C24:K24"/>
    <mergeCell ref="L24:P24"/>
    <mergeCell ref="Q24:S24"/>
    <mergeCell ref="T24:U24"/>
    <mergeCell ref="V24:AB24"/>
    <mergeCell ref="D25:AB25"/>
    <mergeCell ref="C22:K22"/>
    <mergeCell ref="L22:P22"/>
    <mergeCell ref="Q22:S22"/>
    <mergeCell ref="T22:U22"/>
    <mergeCell ref="V22:AB22"/>
    <mergeCell ref="C23:K23"/>
    <mergeCell ref="L23:P23"/>
    <mergeCell ref="Q23:S23"/>
    <mergeCell ref="T23:U23"/>
    <mergeCell ref="V23:AB23"/>
    <mergeCell ref="C26:C27"/>
    <mergeCell ref="D26:AB27"/>
    <mergeCell ref="C28:F29"/>
    <mergeCell ref="G28:I29"/>
    <mergeCell ref="J28:L29"/>
    <mergeCell ref="M28:O29"/>
    <mergeCell ref="P28:X28"/>
    <mergeCell ref="Y28:Y29"/>
    <mergeCell ref="Z28:AB29"/>
    <mergeCell ref="P29:X29"/>
    <mergeCell ref="C32:F32"/>
    <mergeCell ref="M32:O32"/>
    <mergeCell ref="P32:X32"/>
    <mergeCell ref="Z32:AB32"/>
    <mergeCell ref="C33:C34"/>
    <mergeCell ref="D33:AB34"/>
    <mergeCell ref="C30:F30"/>
    <mergeCell ref="M30:O30"/>
    <mergeCell ref="P30:X30"/>
    <mergeCell ref="Z30:AB30"/>
    <mergeCell ref="C31:F31"/>
    <mergeCell ref="M31:O31"/>
    <mergeCell ref="P31:X31"/>
    <mergeCell ref="Z31:AB31"/>
    <mergeCell ref="C38:G38"/>
    <mergeCell ref="J38:Q38"/>
    <mergeCell ref="S38:T38"/>
    <mergeCell ref="U38:Z38"/>
    <mergeCell ref="C39:G39"/>
    <mergeCell ref="J39:Q39"/>
    <mergeCell ref="S39:T39"/>
    <mergeCell ref="U39:Z39"/>
    <mergeCell ref="D35:AB35"/>
    <mergeCell ref="C36:G36"/>
    <mergeCell ref="J36:Q36"/>
    <mergeCell ref="S36:T36"/>
    <mergeCell ref="U36:Z36"/>
    <mergeCell ref="C37:G37"/>
    <mergeCell ref="J37:Q37"/>
    <mergeCell ref="S37:T37"/>
    <mergeCell ref="U37:Z37"/>
    <mergeCell ref="F43:AB43"/>
    <mergeCell ref="C44:D44"/>
    <mergeCell ref="F44:AB44"/>
    <mergeCell ref="C45:D45"/>
    <mergeCell ref="F45:AB45"/>
    <mergeCell ref="C46:D46"/>
    <mergeCell ref="F46:AB46"/>
    <mergeCell ref="C40:G40"/>
    <mergeCell ref="J40:Q40"/>
    <mergeCell ref="S40:T40"/>
    <mergeCell ref="U40:Z40"/>
    <mergeCell ref="C41:C42"/>
    <mergeCell ref="D41:AB41"/>
    <mergeCell ref="D42:AB42"/>
    <mergeCell ref="C50:D50"/>
    <mergeCell ref="F50:AB50"/>
    <mergeCell ref="C52:D52"/>
    <mergeCell ref="F52:AB52"/>
    <mergeCell ref="D53:AB53"/>
    <mergeCell ref="D54:AB54"/>
    <mergeCell ref="C47:D47"/>
    <mergeCell ref="F47:AB47"/>
    <mergeCell ref="C48:D48"/>
    <mergeCell ref="F48:AB48"/>
    <mergeCell ref="C49:D49"/>
    <mergeCell ref="F49:AB4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58776-8145-48D3-9613-7389FE310C1C}">
  <dimension ref="A1:BK98"/>
  <sheetViews>
    <sheetView zoomScale="124" zoomScaleNormal="124" workbookViewId="0">
      <selection activeCell="F8" sqref="F8:H9"/>
    </sheetView>
  </sheetViews>
  <sheetFormatPr defaultColWidth="9" defaultRowHeight="15" x14ac:dyDescent="0.25"/>
  <cols>
    <col min="1" max="2" width="5.42578125" style="1" customWidth="1"/>
    <col min="3" max="3" width="5.42578125" style="29" customWidth="1"/>
    <col min="4" max="4" width="4" style="1" customWidth="1"/>
    <col min="5" max="5" width="20.7109375" style="1" customWidth="1"/>
    <col min="6" max="9" width="25.5703125" style="29" customWidth="1"/>
    <col min="10" max="10" width="14.85546875" style="1" customWidth="1"/>
    <col min="11" max="15" width="18.85546875" style="1" customWidth="1"/>
    <col min="16" max="16" width="35.7109375" style="1" customWidth="1"/>
    <col min="17" max="18" width="21.7109375" style="1" customWidth="1"/>
    <col min="19" max="19" width="11.5703125" style="1" customWidth="1"/>
    <col min="20" max="20" width="13.85546875" style="1" customWidth="1"/>
    <col min="21" max="22" width="9" style="1"/>
    <col min="23" max="23" width="39" style="1" customWidth="1"/>
    <col min="24" max="29" width="21" style="1" customWidth="1"/>
    <col min="30" max="37" width="12.28515625" style="1" customWidth="1"/>
    <col min="38" max="42" width="10.7109375" style="1" customWidth="1"/>
    <col min="43" max="43" width="3.42578125" style="1" customWidth="1"/>
    <col min="44" max="46" width="10.7109375" style="1" customWidth="1"/>
    <col min="47" max="51" width="13.42578125" style="1" customWidth="1"/>
    <col min="52" max="52" width="3.28515625" style="1" customWidth="1"/>
    <col min="53" max="55" width="13.42578125" style="1" customWidth="1"/>
    <col min="56" max="61" width="14.5703125" style="1" customWidth="1"/>
    <col min="62" max="62" width="17.28515625" style="1" customWidth="1"/>
    <col min="63" max="63" width="14.5703125" style="1" customWidth="1"/>
    <col min="64" max="16384" width="9" style="1"/>
  </cols>
  <sheetData>
    <row r="1" spans="1:63" ht="31.5" x14ac:dyDescent="0.5">
      <c r="A1" s="722">
        <v>10</v>
      </c>
      <c r="B1" s="723"/>
      <c r="C1" s="724"/>
      <c r="E1" s="151" t="s">
        <v>1531</v>
      </c>
      <c r="F1"/>
      <c r="G1"/>
      <c r="I1" s="488" t="s">
        <v>1126</v>
      </c>
      <c r="J1" s="582" t="s">
        <v>1395</v>
      </c>
      <c r="K1" s="583"/>
      <c r="L1" s="583"/>
      <c r="M1" s="583"/>
      <c r="N1" s="583"/>
      <c r="O1" s="583"/>
      <c r="P1" s="584"/>
    </row>
    <row r="2" spans="1:63" ht="27.95" customHeight="1" x14ac:dyDescent="0.25">
      <c r="A2" s="725"/>
      <c r="B2" s="726"/>
      <c r="C2" s="727"/>
      <c r="E2" s="585" t="s">
        <v>1594</v>
      </c>
      <c r="G2"/>
      <c r="I2"/>
      <c r="J2" s="256" t="s">
        <v>1595</v>
      </c>
      <c r="K2" s="586"/>
      <c r="L2" s="586"/>
      <c r="M2" s="586"/>
      <c r="N2" s="586"/>
      <c r="O2" s="586"/>
      <c r="P2" s="587"/>
    </row>
    <row r="3" spans="1:63" ht="27.95" customHeight="1" thickBot="1" x14ac:dyDescent="0.3">
      <c r="A3" s="728"/>
      <c r="B3" s="729"/>
      <c r="C3" s="730"/>
      <c r="I3"/>
      <c r="J3" s="256"/>
      <c r="K3" s="588" t="s">
        <v>1596</v>
      </c>
      <c r="L3" s="588"/>
      <c r="M3" s="588"/>
      <c r="N3" s="588"/>
      <c r="O3" s="588"/>
      <c r="P3" s="587"/>
    </row>
    <row r="4" spans="1:63" ht="23.85" customHeight="1" x14ac:dyDescent="0.25">
      <c r="F4" s="955" t="s">
        <v>1453</v>
      </c>
      <c r="G4" s="956"/>
      <c r="H4" s="957"/>
      <c r="I4"/>
      <c r="J4" s="256"/>
      <c r="K4" s="586"/>
      <c r="L4" s="586" t="s">
        <v>1597</v>
      </c>
      <c r="M4" s="586"/>
      <c r="N4" s="586"/>
      <c r="O4" s="586"/>
      <c r="P4" s="587"/>
    </row>
    <row r="5" spans="1:63" ht="23.85" customHeight="1" x14ac:dyDescent="0.25">
      <c r="F5" s="958"/>
      <c r="G5" s="959"/>
      <c r="H5" s="960"/>
      <c r="I5"/>
      <c r="J5" s="256"/>
      <c r="K5" s="586" t="s">
        <v>1598</v>
      </c>
      <c r="L5" s="586"/>
      <c r="M5" s="586"/>
      <c r="N5" s="586"/>
      <c r="O5" s="586"/>
      <c r="P5" s="587"/>
    </row>
    <row r="6" spans="1:63" ht="31.35" customHeight="1" thickBot="1" x14ac:dyDescent="0.3">
      <c r="F6" s="961"/>
      <c r="G6" s="962"/>
      <c r="H6" s="963"/>
      <c r="I6"/>
      <c r="J6" s="256"/>
      <c r="K6" s="588" t="s">
        <v>1599</v>
      </c>
      <c r="L6" s="588"/>
      <c r="M6" s="588"/>
      <c r="N6" s="588"/>
      <c r="O6" s="588"/>
      <c r="P6" s="587"/>
    </row>
    <row r="7" spans="1:63" ht="21.95" customHeight="1" x14ac:dyDescent="0.25">
      <c r="I7"/>
      <c r="J7" s="256"/>
      <c r="K7" s="586" t="s">
        <v>1600</v>
      </c>
      <c r="L7" s="586"/>
      <c r="M7" s="586"/>
      <c r="N7" s="586"/>
      <c r="O7" s="586"/>
      <c r="P7" s="587"/>
    </row>
    <row r="8" spans="1:63" ht="21.95" customHeight="1" x14ac:dyDescent="0.25">
      <c r="D8" s="29"/>
      <c r="E8" s="29"/>
      <c r="I8"/>
      <c r="J8" s="256" t="s">
        <v>1601</v>
      </c>
      <c r="K8" s="586"/>
      <c r="L8" s="586"/>
      <c r="M8" s="586"/>
      <c r="N8" s="586"/>
      <c r="O8" s="586"/>
      <c r="P8" s="587"/>
    </row>
    <row r="9" spans="1:63" x14ac:dyDescent="0.25">
      <c r="I9"/>
      <c r="J9" s="256" t="s">
        <v>1602</v>
      </c>
      <c r="K9" s="556"/>
      <c r="L9" s="556"/>
      <c r="M9" s="556"/>
      <c r="N9" s="556"/>
      <c r="O9" s="556"/>
      <c r="P9" s="494"/>
    </row>
    <row r="10" spans="1:63" x14ac:dyDescent="0.25">
      <c r="I10"/>
      <c r="J10" s="589"/>
      <c r="K10" s="497"/>
      <c r="L10" s="497"/>
      <c r="M10" s="497"/>
      <c r="N10" s="497"/>
      <c r="O10" s="497"/>
      <c r="P10" s="498"/>
    </row>
    <row r="12" spans="1:63" ht="36" x14ac:dyDescent="0.25">
      <c r="B12" s="33" t="s">
        <v>1603</v>
      </c>
      <c r="Q12" s="590"/>
      <c r="R12" s="590"/>
      <c r="S12" s="590"/>
      <c r="AL12" s="964" t="s">
        <v>1604</v>
      </c>
      <c r="AM12" s="965"/>
      <c r="AN12" s="965"/>
      <c r="AO12" s="965"/>
      <c r="AP12" s="965"/>
      <c r="AQ12" s="965"/>
      <c r="AR12" s="965"/>
      <c r="AS12" s="965"/>
      <c r="AT12" s="966"/>
    </row>
    <row r="13" spans="1:63" ht="32.25" thickBot="1" x14ac:dyDescent="0.3">
      <c r="E13" s="591" t="s">
        <v>1605</v>
      </c>
      <c r="U13" s="77" t="s">
        <v>1606</v>
      </c>
      <c r="V13" s="77"/>
      <c r="Z13" s="592" t="s">
        <v>1607</v>
      </c>
    </row>
    <row r="14" spans="1:63" ht="19.5" thickBot="1" x14ac:dyDescent="0.3">
      <c r="A14" s="593" t="s">
        <v>1608</v>
      </c>
      <c r="B14" s="594"/>
      <c r="C14" s="594"/>
      <c r="D14" s="595"/>
      <c r="E14" s="596" t="s">
        <v>1609</v>
      </c>
      <c r="U14" s="77"/>
      <c r="V14" s="77" t="s">
        <v>1610</v>
      </c>
      <c r="Z14" s="592" t="s">
        <v>1611</v>
      </c>
    </row>
    <row r="15" spans="1:63" ht="27" thickBot="1" x14ac:dyDescent="0.3">
      <c r="A15" s="597" t="s">
        <v>1612</v>
      </c>
      <c r="B15" s="598"/>
      <c r="C15" s="598"/>
      <c r="D15" s="599"/>
      <c r="E15" s="600" t="s">
        <v>1613</v>
      </c>
      <c r="F15" s="601" t="s">
        <v>1614</v>
      </c>
      <c r="G15" s="602"/>
      <c r="H15" s="602"/>
      <c r="I15" s="602"/>
      <c r="J15" s="947" t="s">
        <v>1615</v>
      </c>
      <c r="K15" s="948" t="s">
        <v>1616</v>
      </c>
      <c r="L15" s="949"/>
      <c r="M15" s="949"/>
      <c r="N15" s="949"/>
      <c r="O15" s="949"/>
      <c r="P15" s="603" t="s">
        <v>1617</v>
      </c>
      <c r="Q15" s="604"/>
      <c r="R15" s="604"/>
      <c r="S15" s="604"/>
      <c r="T15" s="604"/>
      <c r="U15" s="604"/>
      <c r="V15" s="604"/>
      <c r="W15" s="604"/>
      <c r="X15" s="605" t="s">
        <v>1618</v>
      </c>
      <c r="Y15" s="606"/>
      <c r="Z15" s="606"/>
      <c r="AA15" s="606"/>
      <c r="AB15" s="606"/>
      <c r="AC15" s="607"/>
      <c r="AD15" s="608" t="s">
        <v>1619</v>
      </c>
      <c r="AE15" s="609"/>
      <c r="AF15" s="609"/>
      <c r="AG15" s="609"/>
      <c r="AH15" s="609"/>
      <c r="AI15" s="609"/>
      <c r="AJ15" s="609"/>
      <c r="AK15" s="610"/>
      <c r="AL15" s="611" t="s">
        <v>1620</v>
      </c>
      <c r="AM15" s="612"/>
      <c r="AN15" s="612"/>
      <c r="AO15" s="612"/>
      <c r="AP15" s="612"/>
      <c r="AQ15" s="612"/>
      <c r="AR15" s="612"/>
      <c r="AS15" s="612"/>
      <c r="AT15" s="613"/>
      <c r="AU15" s="614" t="s">
        <v>1621</v>
      </c>
      <c r="AV15" s="615"/>
      <c r="AW15" s="615"/>
      <c r="AX15" s="615"/>
      <c r="AY15" s="615"/>
      <c r="AZ15" s="615"/>
      <c r="BA15" s="615"/>
      <c r="BB15" s="615"/>
      <c r="BC15" s="616"/>
      <c r="BD15" s="617" t="s">
        <v>1622</v>
      </c>
      <c r="BE15" s="618"/>
      <c r="BF15" s="618"/>
      <c r="BG15" s="618"/>
      <c r="BH15" s="618"/>
      <c r="BI15" s="618"/>
      <c r="BJ15" s="618"/>
      <c r="BK15" s="619"/>
    </row>
    <row r="16" spans="1:63" ht="16.5" thickBot="1" x14ac:dyDescent="0.3">
      <c r="A16" s="620"/>
      <c r="C16" s="1"/>
      <c r="E16" s="621" t="s">
        <v>1623</v>
      </c>
      <c r="F16" s="622" t="s">
        <v>1624</v>
      </c>
      <c r="G16" s="621" t="s">
        <v>1625</v>
      </c>
      <c r="H16" s="621" t="s">
        <v>1626</v>
      </c>
      <c r="I16" s="621" t="s">
        <v>1627</v>
      </c>
      <c r="J16" s="937"/>
      <c r="K16" s="951"/>
      <c r="L16" s="952"/>
      <c r="M16" s="952"/>
      <c r="N16" s="952"/>
      <c r="O16" s="952"/>
      <c r="P16" s="623" t="s">
        <v>1628</v>
      </c>
      <c r="Q16" s="623" t="s">
        <v>1629</v>
      </c>
      <c r="R16" s="623" t="s">
        <v>1630</v>
      </c>
      <c r="S16" s="623" t="s">
        <v>1631</v>
      </c>
      <c r="T16" s="623" t="s">
        <v>1632</v>
      </c>
      <c r="U16" s="623" t="s">
        <v>1633</v>
      </c>
      <c r="V16" s="623" t="s">
        <v>1634</v>
      </c>
      <c r="W16" s="624" t="s">
        <v>1635</v>
      </c>
      <c r="X16" s="623" t="s">
        <v>1636</v>
      </c>
      <c r="Y16" s="623" t="s">
        <v>1637</v>
      </c>
      <c r="Z16" s="623" t="s">
        <v>1638</v>
      </c>
      <c r="AA16" s="623" t="s">
        <v>1639</v>
      </c>
      <c r="AB16" s="623" t="s">
        <v>1640</v>
      </c>
      <c r="AC16" s="623" t="s">
        <v>1641</v>
      </c>
      <c r="AD16" s="625" t="s">
        <v>1642</v>
      </c>
      <c r="AE16" s="626"/>
      <c r="AF16" s="626"/>
      <c r="AG16" s="626"/>
      <c r="AH16" s="626"/>
      <c r="AI16" s="626"/>
      <c r="AJ16" s="626"/>
      <c r="AK16" s="627"/>
      <c r="AL16" s="628" t="s">
        <v>1643</v>
      </c>
      <c r="AM16" s="629"/>
      <c r="AN16" s="630"/>
      <c r="AO16" s="628" t="s">
        <v>1644</v>
      </c>
      <c r="AP16" s="630"/>
      <c r="AQ16" s="623" t="s">
        <v>1095</v>
      </c>
      <c r="AR16" s="629" t="s">
        <v>1645</v>
      </c>
      <c r="AS16" s="629"/>
      <c r="AT16" s="630"/>
      <c r="AU16" s="628" t="s">
        <v>1646</v>
      </c>
      <c r="AV16" s="629"/>
      <c r="AW16" s="629"/>
      <c r="AX16" s="629"/>
      <c r="AY16" s="630"/>
      <c r="AZ16" s="623" t="s">
        <v>1095</v>
      </c>
      <c r="BA16" s="629" t="s">
        <v>1647</v>
      </c>
      <c r="BB16" s="629"/>
      <c r="BC16" s="630"/>
      <c r="BD16" s="624"/>
      <c r="BE16" s="631"/>
      <c r="BF16" s="631"/>
      <c r="BG16" s="631"/>
      <c r="BH16" s="631"/>
      <c r="BI16" s="631"/>
      <c r="BJ16" s="631"/>
      <c r="BK16" s="632"/>
    </row>
    <row r="17" spans="1:63" ht="14.45" customHeight="1" x14ac:dyDescent="0.25">
      <c r="A17" s="620"/>
      <c r="E17" s="633" t="s">
        <v>1648</v>
      </c>
      <c r="F17" s="634" t="s">
        <v>1649</v>
      </c>
      <c r="G17" s="633" t="s">
        <v>1650</v>
      </c>
      <c r="H17" s="633" t="s">
        <v>40</v>
      </c>
      <c r="I17" s="633" t="s">
        <v>1651</v>
      </c>
      <c r="J17" s="633" t="s">
        <v>82</v>
      </c>
      <c r="K17" s="635" t="s">
        <v>1652</v>
      </c>
      <c r="L17" s="636"/>
      <c r="M17" s="636"/>
      <c r="N17" s="636"/>
      <c r="O17" s="637"/>
      <c r="P17" s="634" t="s">
        <v>1653</v>
      </c>
      <c r="Q17" s="638" t="s">
        <v>1654</v>
      </c>
      <c r="R17" s="638" t="s">
        <v>111</v>
      </c>
      <c r="S17" s="638" t="s">
        <v>1655</v>
      </c>
      <c r="T17" s="29">
        <v>55</v>
      </c>
      <c r="U17" s="29">
        <v>59</v>
      </c>
      <c r="V17" s="29">
        <v>51</v>
      </c>
      <c r="W17" s="639" t="s">
        <v>1656</v>
      </c>
      <c r="X17" s="640" t="s">
        <v>1657</v>
      </c>
      <c r="Y17" s="636" t="s">
        <v>1658</v>
      </c>
      <c r="Z17" s="636" t="s">
        <v>1649</v>
      </c>
      <c r="AA17" s="636" t="s">
        <v>1659</v>
      </c>
      <c r="AB17" s="636" t="s">
        <v>1660</v>
      </c>
      <c r="AC17" s="935" t="s">
        <v>1661</v>
      </c>
      <c r="AD17" s="938" t="s">
        <v>1662</v>
      </c>
      <c r="AE17" s="939"/>
      <c r="AF17" s="939"/>
      <c r="AG17" s="939"/>
      <c r="AH17" s="939"/>
      <c r="AI17" s="939"/>
      <c r="AJ17" s="939"/>
      <c r="AK17" s="940"/>
      <c r="AL17" s="641" t="s">
        <v>1663</v>
      </c>
      <c r="AM17" s="642"/>
      <c r="AN17" s="643"/>
      <c r="AO17" s="644" t="s">
        <v>1664</v>
      </c>
      <c r="AP17" s="643"/>
      <c r="AQ17" s="645" t="s">
        <v>1095</v>
      </c>
      <c r="AR17" s="77" t="s">
        <v>1665</v>
      </c>
      <c r="AS17" s="643"/>
      <c r="AT17" s="646"/>
      <c r="AU17" s="641" t="s">
        <v>1666</v>
      </c>
      <c r="AV17" s="644"/>
      <c r="AW17" s="644"/>
      <c r="AX17" s="644"/>
      <c r="AY17" s="644"/>
      <c r="AZ17" s="645"/>
      <c r="BA17" s="647" t="s">
        <v>1667</v>
      </c>
      <c r="BB17" s="643"/>
      <c r="BC17" s="646"/>
      <c r="BD17" s="641" t="s">
        <v>1668</v>
      </c>
      <c r="BE17" s="644"/>
      <c r="BF17" s="644"/>
      <c r="BG17" s="644"/>
      <c r="BH17" s="644"/>
      <c r="BI17" s="647"/>
      <c r="BJ17" s="643"/>
      <c r="BK17" s="646"/>
    </row>
    <row r="18" spans="1:63" x14ac:dyDescent="0.25">
      <c r="A18" s="620"/>
      <c r="D18" s="29"/>
      <c r="E18" s="633" t="s">
        <v>1669</v>
      </c>
      <c r="F18" s="634" t="s">
        <v>1670</v>
      </c>
      <c r="G18" s="633" t="s">
        <v>1671</v>
      </c>
      <c r="H18" s="633" t="s">
        <v>271</v>
      </c>
      <c r="I18" s="633" t="s">
        <v>1672</v>
      </c>
      <c r="J18" s="633"/>
      <c r="K18" s="648" t="s">
        <v>1653</v>
      </c>
      <c r="M18" s="649" t="s">
        <v>1673</v>
      </c>
      <c r="N18" s="649"/>
      <c r="O18" s="650"/>
      <c r="P18" s="634" t="s">
        <v>1674</v>
      </c>
      <c r="Q18" s="638" t="s">
        <v>1654</v>
      </c>
      <c r="R18" s="638" t="s">
        <v>111</v>
      </c>
      <c r="S18" s="638" t="s">
        <v>1655</v>
      </c>
      <c r="T18" s="29">
        <v>45</v>
      </c>
      <c r="U18" s="29">
        <v>47</v>
      </c>
      <c r="V18" s="29">
        <v>43</v>
      </c>
      <c r="W18" s="485" t="s">
        <v>1675</v>
      </c>
      <c r="X18" s="620" t="s">
        <v>1676</v>
      </c>
      <c r="Y18" s="1" t="s">
        <v>1677</v>
      </c>
      <c r="Z18" s="1" t="s">
        <v>1670</v>
      </c>
      <c r="AA18" s="1" t="s">
        <v>1678</v>
      </c>
      <c r="AB18" s="1" t="s">
        <v>1679</v>
      </c>
      <c r="AC18" s="936"/>
      <c r="AD18" s="941"/>
      <c r="AE18" s="942"/>
      <c r="AF18" s="942"/>
      <c r="AG18" s="942"/>
      <c r="AH18" s="942"/>
      <c r="AI18" s="942"/>
      <c r="AJ18" s="942"/>
      <c r="AK18" s="943"/>
      <c r="AL18" s="634"/>
      <c r="AM18" s="651"/>
      <c r="AN18" s="652"/>
      <c r="AO18" s="77" t="s">
        <v>1680</v>
      </c>
      <c r="AP18" s="652"/>
      <c r="AQ18" s="645" t="s">
        <v>1095</v>
      </c>
      <c r="AR18" s="77" t="s">
        <v>1681</v>
      </c>
      <c r="AS18" s="652"/>
      <c r="AT18" s="653"/>
      <c r="AU18" s="634"/>
      <c r="AV18" s="77" t="s">
        <v>1682</v>
      </c>
      <c r="AW18" s="77"/>
      <c r="AX18" s="77"/>
      <c r="AY18" s="77"/>
      <c r="AZ18" s="645" t="s">
        <v>1095</v>
      </c>
      <c r="BA18" s="654" t="s">
        <v>1683</v>
      </c>
      <c r="BB18" s="652"/>
      <c r="BC18" s="653"/>
      <c r="BD18" s="634"/>
      <c r="BE18" s="77" t="s">
        <v>1684</v>
      </c>
      <c r="BF18" s="77"/>
      <c r="BG18" s="77"/>
      <c r="BH18" s="77"/>
      <c r="BI18" s="654"/>
      <c r="BK18" s="653"/>
    </row>
    <row r="19" spans="1:63" x14ac:dyDescent="0.25">
      <c r="A19" s="620"/>
      <c r="D19" s="29"/>
      <c r="E19" s="633"/>
      <c r="F19" s="634" t="s">
        <v>27</v>
      </c>
      <c r="G19" s="633" t="s">
        <v>1685</v>
      </c>
      <c r="H19" s="633" t="s">
        <v>220</v>
      </c>
      <c r="I19" s="633" t="s">
        <v>1686</v>
      </c>
      <c r="J19" s="633"/>
      <c r="K19" s="649" t="s">
        <v>1687</v>
      </c>
      <c r="M19" s="649" t="s">
        <v>1688</v>
      </c>
      <c r="N19" s="649"/>
      <c r="O19" s="650"/>
      <c r="P19" s="634" t="s">
        <v>1689</v>
      </c>
      <c r="Q19" s="638" t="s">
        <v>1654</v>
      </c>
      <c r="R19" s="638" t="s">
        <v>111</v>
      </c>
      <c r="S19" s="638" t="s">
        <v>1655</v>
      </c>
      <c r="T19" s="29">
        <v>65</v>
      </c>
      <c r="U19" s="29">
        <v>78</v>
      </c>
      <c r="V19" s="29">
        <v>65</v>
      </c>
      <c r="W19" s="485" t="s">
        <v>1690</v>
      </c>
      <c r="X19" s="620" t="s">
        <v>1691</v>
      </c>
      <c r="Z19" s="77" t="s">
        <v>1692</v>
      </c>
      <c r="AA19" s="1" t="s">
        <v>1693</v>
      </c>
      <c r="AC19" s="936"/>
      <c r="AD19" s="941"/>
      <c r="AE19" s="942"/>
      <c r="AF19" s="942"/>
      <c r="AG19" s="942"/>
      <c r="AH19" s="942"/>
      <c r="AI19" s="942"/>
      <c r="AJ19" s="942"/>
      <c r="AK19" s="943"/>
      <c r="AL19" s="634"/>
      <c r="AM19" s="651"/>
      <c r="AN19" s="652"/>
      <c r="AO19" s="77" t="s">
        <v>1694</v>
      </c>
      <c r="AP19" s="652"/>
      <c r="AQ19" s="645"/>
      <c r="AR19" s="77" t="s">
        <v>1695</v>
      </c>
      <c r="AS19" s="652"/>
      <c r="AT19" s="653"/>
      <c r="AU19" s="634"/>
      <c r="AV19" s="77" t="s">
        <v>1696</v>
      </c>
      <c r="AW19" s="77"/>
      <c r="AX19" s="77"/>
      <c r="AY19" s="77"/>
      <c r="AZ19" s="645" t="s">
        <v>1095</v>
      </c>
      <c r="BA19" s="654" t="s">
        <v>1660</v>
      </c>
      <c r="BB19" s="652"/>
      <c r="BC19" s="653"/>
      <c r="BD19" s="634"/>
      <c r="BE19" s="77"/>
      <c r="BF19" s="77"/>
      <c r="BG19" s="77"/>
      <c r="BH19" s="77"/>
      <c r="BI19" s="2" t="s">
        <v>1697</v>
      </c>
      <c r="BK19" s="653"/>
    </row>
    <row r="20" spans="1:63" x14ac:dyDescent="0.25">
      <c r="A20" s="620"/>
      <c r="D20" s="29"/>
      <c r="E20" s="633"/>
      <c r="F20" s="634" t="s">
        <v>56</v>
      </c>
      <c r="G20" s="633"/>
      <c r="H20" s="655" t="s">
        <v>1698</v>
      </c>
      <c r="I20" s="633" t="s">
        <v>1699</v>
      </c>
      <c r="J20" s="633"/>
      <c r="K20" s="648" t="s">
        <v>1689</v>
      </c>
      <c r="M20" s="649" t="s">
        <v>1700</v>
      </c>
      <c r="N20" s="649"/>
      <c r="O20" s="650"/>
      <c r="P20" s="77" t="s">
        <v>1701</v>
      </c>
      <c r="Q20" s="638" t="s">
        <v>1702</v>
      </c>
      <c r="R20" s="638"/>
      <c r="S20" s="638" t="s">
        <v>1655</v>
      </c>
      <c r="T20" s="29">
        <v>74</v>
      </c>
      <c r="U20" s="29" t="s">
        <v>1703</v>
      </c>
      <c r="V20" s="29" t="s">
        <v>1703</v>
      </c>
      <c r="W20" s="485" t="s">
        <v>1704</v>
      </c>
      <c r="X20" s="656" t="s">
        <v>1705</v>
      </c>
      <c r="Y20" s="2"/>
      <c r="Z20" s="77" t="s">
        <v>1706</v>
      </c>
      <c r="AB20" s="2"/>
      <c r="AC20" s="936"/>
      <c r="AD20" s="941"/>
      <c r="AE20" s="942"/>
      <c r="AF20" s="942"/>
      <c r="AG20" s="942"/>
      <c r="AH20" s="942"/>
      <c r="AI20" s="942"/>
      <c r="AJ20" s="942"/>
      <c r="AK20" s="943"/>
      <c r="AL20" s="634"/>
      <c r="AM20" s="651"/>
      <c r="AN20" s="652"/>
      <c r="AO20" s="77"/>
      <c r="AP20" s="652"/>
      <c r="AQ20" s="645"/>
      <c r="AR20" s="77" t="s">
        <v>1707</v>
      </c>
      <c r="AS20" s="652"/>
      <c r="AT20" s="653"/>
      <c r="AU20" s="634"/>
      <c r="AV20" s="77" t="s">
        <v>1708</v>
      </c>
      <c r="AW20" s="77"/>
      <c r="AX20" s="77"/>
      <c r="AY20" s="77"/>
      <c r="AZ20" s="645"/>
      <c r="BA20" s="654" t="s">
        <v>1709</v>
      </c>
      <c r="BB20" s="652"/>
      <c r="BC20" s="653"/>
      <c r="BD20" s="634"/>
      <c r="BE20" s="77"/>
      <c r="BF20" s="77"/>
      <c r="BG20" s="77"/>
      <c r="BH20" s="77"/>
      <c r="BI20" s="652" t="s">
        <v>1710</v>
      </c>
      <c r="BK20" s="653"/>
    </row>
    <row r="21" spans="1:63" x14ac:dyDescent="0.25">
      <c r="A21" s="620"/>
      <c r="D21" s="29"/>
      <c r="E21" s="633"/>
      <c r="F21" s="634" t="s">
        <v>1711</v>
      </c>
      <c r="G21" s="633"/>
      <c r="H21" s="655" t="s">
        <v>1712</v>
      </c>
      <c r="I21" s="633" t="s">
        <v>1713</v>
      </c>
      <c r="J21" s="657"/>
      <c r="K21" s="648" t="s">
        <v>1701</v>
      </c>
      <c r="M21" s="649" t="s">
        <v>1714</v>
      </c>
      <c r="N21" s="649"/>
      <c r="O21" s="650"/>
      <c r="P21" s="77" t="s">
        <v>1715</v>
      </c>
      <c r="Q21" s="29"/>
      <c r="R21" s="29"/>
      <c r="S21" s="29"/>
      <c r="T21" s="29"/>
      <c r="U21" s="29"/>
      <c r="V21" s="29"/>
      <c r="W21" s="485"/>
      <c r="X21" s="620" t="s">
        <v>86</v>
      </c>
      <c r="Z21" s="77" t="s">
        <v>56</v>
      </c>
      <c r="AA21" s="1" t="s">
        <v>1716</v>
      </c>
      <c r="AC21" s="936"/>
      <c r="AD21" s="941"/>
      <c r="AE21" s="942"/>
      <c r="AF21" s="942"/>
      <c r="AG21" s="942"/>
      <c r="AH21" s="942"/>
      <c r="AI21" s="942"/>
      <c r="AJ21" s="942"/>
      <c r="AK21" s="943"/>
      <c r="AL21" s="634" t="s">
        <v>1717</v>
      </c>
      <c r="AM21" s="651"/>
      <c r="AN21" s="652"/>
      <c r="AO21" s="77" t="s">
        <v>1664</v>
      </c>
      <c r="AP21" s="652"/>
      <c r="AQ21" s="645" t="s">
        <v>1095</v>
      </c>
      <c r="AR21" s="77" t="s">
        <v>1718</v>
      </c>
      <c r="AS21" s="652"/>
      <c r="AT21" s="653"/>
      <c r="AU21" s="634"/>
      <c r="AV21" s="77" t="s">
        <v>1719</v>
      </c>
      <c r="AW21" s="77"/>
      <c r="AX21" s="77"/>
      <c r="AY21" s="77"/>
      <c r="AZ21" s="645"/>
      <c r="BA21" s="654" t="s">
        <v>1720</v>
      </c>
      <c r="BB21" s="652"/>
      <c r="BC21" s="653"/>
      <c r="BD21" s="634"/>
      <c r="BE21" s="77"/>
      <c r="BF21" s="77"/>
      <c r="BG21" s="77"/>
      <c r="BH21" s="77"/>
      <c r="BI21" s="652" t="s">
        <v>1721</v>
      </c>
      <c r="BK21" s="653"/>
    </row>
    <row r="22" spans="1:63" x14ac:dyDescent="0.25">
      <c r="A22" s="620"/>
      <c r="D22" s="29"/>
      <c r="E22" s="633"/>
      <c r="F22" s="634"/>
      <c r="G22" s="633"/>
      <c r="H22" s="633" t="s">
        <v>1722</v>
      </c>
      <c r="I22" s="633" t="s">
        <v>1723</v>
      </c>
      <c r="J22" s="657"/>
      <c r="K22" s="648" t="s">
        <v>1724</v>
      </c>
      <c r="M22" s="649" t="s">
        <v>1725</v>
      </c>
      <c r="N22" s="649"/>
      <c r="O22" s="650"/>
      <c r="P22" s="658" t="s">
        <v>1726</v>
      </c>
      <c r="Q22" s="29"/>
      <c r="R22" s="29"/>
      <c r="S22" s="29"/>
      <c r="T22" s="29"/>
      <c r="U22" s="29"/>
      <c r="V22" s="29"/>
      <c r="X22" s="620"/>
      <c r="Z22" s="77" t="s">
        <v>1727</v>
      </c>
      <c r="AC22" s="936"/>
      <c r="AD22" s="941"/>
      <c r="AE22" s="942"/>
      <c r="AF22" s="942"/>
      <c r="AG22" s="942"/>
      <c r="AH22" s="942"/>
      <c r="AI22" s="942"/>
      <c r="AJ22" s="942"/>
      <c r="AK22" s="943"/>
      <c r="AL22" s="634"/>
      <c r="AM22" s="651"/>
      <c r="AN22" s="652"/>
      <c r="AO22" s="77" t="s">
        <v>1680</v>
      </c>
      <c r="AP22" s="652"/>
      <c r="AQ22" s="645"/>
      <c r="AR22" s="77" t="s">
        <v>1728</v>
      </c>
      <c r="AS22" s="652"/>
      <c r="AT22" s="653"/>
      <c r="AU22" s="634"/>
      <c r="AV22" s="77" t="s">
        <v>1729</v>
      </c>
      <c r="AW22" s="77"/>
      <c r="AX22" s="77"/>
      <c r="AY22" s="77"/>
      <c r="AZ22" s="645" t="s">
        <v>1095</v>
      </c>
      <c r="BA22" s="654" t="s">
        <v>1730</v>
      </c>
      <c r="BB22" s="652"/>
      <c r="BC22" s="653"/>
      <c r="BD22" s="634"/>
      <c r="BE22" s="77"/>
      <c r="BF22" s="77"/>
      <c r="BG22" s="77"/>
      <c r="BH22" s="77"/>
      <c r="BI22" s="652" t="s">
        <v>1731</v>
      </c>
      <c r="BK22" s="653"/>
    </row>
    <row r="23" spans="1:63" x14ac:dyDescent="0.25">
      <c r="A23" s="620"/>
      <c r="D23" s="29"/>
      <c r="E23" s="633"/>
      <c r="F23" s="634"/>
      <c r="G23" s="633"/>
      <c r="H23" s="633" t="s">
        <v>1228</v>
      </c>
      <c r="I23" s="633" t="s">
        <v>1732</v>
      </c>
      <c r="J23" s="657"/>
      <c r="K23" s="648" t="s">
        <v>1733</v>
      </c>
      <c r="M23" s="649"/>
      <c r="N23" s="649"/>
      <c r="O23" s="650"/>
      <c r="P23" s="77"/>
      <c r="Q23" s="29"/>
      <c r="R23" s="29"/>
      <c r="S23" s="29"/>
      <c r="U23" s="29"/>
      <c r="X23" s="620"/>
      <c r="AC23" s="936"/>
      <c r="AD23" s="941"/>
      <c r="AE23" s="942"/>
      <c r="AF23" s="942"/>
      <c r="AG23" s="942"/>
      <c r="AH23" s="942"/>
      <c r="AI23" s="942"/>
      <c r="AJ23" s="942"/>
      <c r="AK23" s="943"/>
      <c r="AL23" s="634"/>
      <c r="AM23" s="651"/>
      <c r="AN23" s="652"/>
      <c r="AO23" s="77" t="s">
        <v>1694</v>
      </c>
      <c r="AP23" s="652"/>
      <c r="AQ23" s="645" t="s">
        <v>1095</v>
      </c>
      <c r="AR23" s="77" t="s">
        <v>1734</v>
      </c>
      <c r="AS23" s="652"/>
      <c r="AT23" s="653"/>
      <c r="AU23" s="634"/>
      <c r="AV23" s="77" t="s">
        <v>1735</v>
      </c>
      <c r="AW23" s="77"/>
      <c r="AX23" s="77"/>
      <c r="AY23" s="77"/>
      <c r="AZ23" s="645" t="s">
        <v>1095</v>
      </c>
      <c r="BA23" s="654" t="s">
        <v>1736</v>
      </c>
      <c r="BB23" s="652"/>
      <c r="BC23" s="653"/>
      <c r="BD23" s="634"/>
      <c r="BE23" s="77" t="s">
        <v>1737</v>
      </c>
      <c r="BF23" s="77"/>
      <c r="BG23" s="77"/>
      <c r="BH23" s="77"/>
      <c r="BI23" s="652" t="s">
        <v>1738</v>
      </c>
      <c r="BK23" s="653"/>
    </row>
    <row r="24" spans="1:63" x14ac:dyDescent="0.25">
      <c r="A24" s="620"/>
      <c r="D24" s="29"/>
      <c r="E24" s="633"/>
      <c r="F24" s="634"/>
      <c r="G24" s="633"/>
      <c r="H24" s="633" t="s">
        <v>1739</v>
      </c>
      <c r="I24" s="633" t="s">
        <v>1740</v>
      </c>
      <c r="J24" s="657"/>
      <c r="K24" s="659" t="s">
        <v>1741</v>
      </c>
      <c r="O24" s="650"/>
      <c r="P24" s="77"/>
      <c r="Q24" s="29"/>
      <c r="R24" s="29"/>
      <c r="S24" s="29"/>
      <c r="U24" s="29"/>
      <c r="X24" s="620"/>
      <c r="AC24" s="936"/>
      <c r="AD24" s="941"/>
      <c r="AE24" s="942"/>
      <c r="AF24" s="942"/>
      <c r="AG24" s="942"/>
      <c r="AH24" s="942"/>
      <c r="AI24" s="942"/>
      <c r="AJ24" s="942"/>
      <c r="AK24" s="943"/>
      <c r="AL24" s="634"/>
      <c r="AM24" s="651"/>
      <c r="AN24" s="652"/>
      <c r="AO24" s="77"/>
      <c r="AP24" s="652"/>
      <c r="AQ24" s="645" t="s">
        <v>1095</v>
      </c>
      <c r="AR24" s="77" t="s">
        <v>1742</v>
      </c>
      <c r="AS24" s="652"/>
      <c r="AT24" s="653"/>
      <c r="AU24" s="634"/>
      <c r="AV24" s="77" t="s">
        <v>1743</v>
      </c>
      <c r="AW24" s="77"/>
      <c r="AX24" s="77"/>
      <c r="AY24" s="77"/>
      <c r="AZ24" s="645"/>
      <c r="BA24" s="654" t="s">
        <v>1744</v>
      </c>
      <c r="BB24" s="652"/>
      <c r="BC24" s="653"/>
      <c r="BD24" s="634"/>
      <c r="BE24" s="77"/>
      <c r="BF24" s="77"/>
      <c r="BG24" s="77"/>
      <c r="BH24" s="77"/>
      <c r="BI24" s="652" t="s">
        <v>1745</v>
      </c>
      <c r="BK24" s="653"/>
    </row>
    <row r="25" spans="1:63" x14ac:dyDescent="0.25">
      <c r="A25" s="620"/>
      <c r="D25" s="29"/>
      <c r="E25" s="633"/>
      <c r="F25" s="634"/>
      <c r="G25" s="633"/>
      <c r="H25" s="633" t="s">
        <v>1746</v>
      </c>
      <c r="I25" s="633" t="s">
        <v>1747</v>
      </c>
      <c r="J25" s="657"/>
      <c r="K25" s="660"/>
      <c r="L25" s="661"/>
      <c r="M25" s="649"/>
      <c r="N25" s="649"/>
      <c r="O25" s="650"/>
      <c r="Q25" s="29"/>
      <c r="R25" s="29"/>
      <c r="S25" s="29"/>
      <c r="U25" s="29"/>
      <c r="X25" s="620"/>
      <c r="AC25" s="936"/>
      <c r="AD25" s="941"/>
      <c r="AE25" s="942"/>
      <c r="AF25" s="942"/>
      <c r="AG25" s="942"/>
      <c r="AH25" s="942"/>
      <c r="AI25" s="942"/>
      <c r="AJ25" s="942"/>
      <c r="AK25" s="943"/>
      <c r="AL25" s="634" t="s">
        <v>1748</v>
      </c>
      <c r="AM25" s="651"/>
      <c r="AN25" s="652"/>
      <c r="AO25" s="77" t="s">
        <v>1664</v>
      </c>
      <c r="AP25" s="652"/>
      <c r="AQ25" s="645" t="s">
        <v>1095</v>
      </c>
      <c r="AR25" s="77" t="s">
        <v>1749</v>
      </c>
      <c r="AS25" s="652"/>
      <c r="AT25" s="653"/>
      <c r="AU25" s="634"/>
      <c r="AV25" s="77" t="s">
        <v>1750</v>
      </c>
      <c r="AW25" s="77"/>
      <c r="AX25" s="77"/>
      <c r="AY25" s="77"/>
      <c r="AZ25" s="645"/>
      <c r="BA25" s="654" t="s">
        <v>1751</v>
      </c>
      <c r="BB25" s="652"/>
      <c r="BC25" s="653"/>
      <c r="BD25" s="634"/>
      <c r="BE25" s="77"/>
      <c r="BF25" s="77"/>
      <c r="BG25" s="77"/>
      <c r="BH25" s="77"/>
      <c r="BI25" s="652" t="s">
        <v>1752</v>
      </c>
      <c r="BJ25" s="652"/>
      <c r="BK25" s="653"/>
    </row>
    <row r="26" spans="1:63" ht="15.75" thickBot="1" x14ac:dyDescent="0.3">
      <c r="A26" s="620"/>
      <c r="D26" s="29"/>
      <c r="E26" s="633"/>
      <c r="F26" s="634"/>
      <c r="G26" s="633"/>
      <c r="H26" s="633" t="s">
        <v>1753</v>
      </c>
      <c r="I26" s="633" t="s">
        <v>1754</v>
      </c>
      <c r="J26" s="657"/>
      <c r="K26" s="660"/>
      <c r="L26" s="661"/>
      <c r="M26" s="649"/>
      <c r="N26" s="649"/>
      <c r="O26" s="650"/>
      <c r="Q26" s="29"/>
      <c r="R26" s="29"/>
      <c r="S26" s="29"/>
      <c r="U26" s="29"/>
      <c r="X26" s="620"/>
      <c r="AC26" s="936"/>
      <c r="AD26" s="944"/>
      <c r="AE26" s="945"/>
      <c r="AF26" s="945"/>
      <c r="AG26" s="945"/>
      <c r="AH26" s="945"/>
      <c r="AI26" s="945"/>
      <c r="AJ26" s="945"/>
      <c r="AK26" s="946"/>
      <c r="AL26" s="634"/>
      <c r="AM26" s="651"/>
      <c r="AN26" s="652"/>
      <c r="AO26" s="77" t="s">
        <v>1755</v>
      </c>
      <c r="AP26" s="652"/>
      <c r="AQ26" s="645" t="s">
        <v>1095</v>
      </c>
      <c r="AR26" s="77" t="s">
        <v>1756</v>
      </c>
      <c r="AS26" s="652"/>
      <c r="AT26" s="653"/>
      <c r="AU26" s="634"/>
      <c r="AV26" s="77"/>
      <c r="AW26" s="77"/>
      <c r="AX26" s="77"/>
      <c r="AY26" s="77"/>
      <c r="AZ26" s="645"/>
      <c r="BA26" s="654" t="s">
        <v>1757</v>
      </c>
      <c r="BB26" s="652"/>
      <c r="BC26" s="653"/>
      <c r="BD26" s="634"/>
      <c r="BE26" s="77"/>
      <c r="BF26" s="77"/>
      <c r="BG26" s="77"/>
      <c r="BH26" s="77"/>
      <c r="BI26" s="654"/>
      <c r="BJ26" s="652"/>
      <c r="BK26" s="653"/>
    </row>
    <row r="27" spans="1:63" ht="15.75" thickBot="1" x14ac:dyDescent="0.3">
      <c r="A27" s="620"/>
      <c r="D27" s="29"/>
      <c r="E27" s="633"/>
      <c r="F27" s="634"/>
      <c r="G27" s="633"/>
      <c r="H27" s="633"/>
      <c r="I27" s="633" t="s">
        <v>1758</v>
      </c>
      <c r="J27" s="657"/>
      <c r="K27" s="660"/>
      <c r="L27" s="661"/>
      <c r="M27" s="649"/>
      <c r="N27" s="649"/>
      <c r="O27" s="650"/>
      <c r="Q27" s="29"/>
      <c r="R27" s="29"/>
      <c r="S27" s="29"/>
      <c r="U27" s="29"/>
      <c r="X27" s="620"/>
      <c r="AC27" s="937"/>
      <c r="AD27" s="620"/>
      <c r="AI27" s="1" t="s">
        <v>1759</v>
      </c>
      <c r="AK27" s="650"/>
      <c r="AL27" s="634"/>
      <c r="AM27" s="651"/>
      <c r="AN27" s="652"/>
      <c r="AO27" s="77" t="s">
        <v>1692</v>
      </c>
      <c r="AP27" s="652"/>
      <c r="AQ27" s="645"/>
      <c r="AR27" s="77" t="s">
        <v>1760</v>
      </c>
      <c r="AS27" s="652"/>
      <c r="AT27" s="653"/>
      <c r="AU27" s="634"/>
      <c r="AV27" s="77"/>
      <c r="AW27" s="77"/>
      <c r="AX27" s="77"/>
      <c r="AY27" s="77"/>
      <c r="AZ27" s="645" t="s">
        <v>1095</v>
      </c>
      <c r="BA27" s="654" t="s">
        <v>1761</v>
      </c>
      <c r="BB27" s="652"/>
      <c r="BC27" s="653"/>
      <c r="BD27" s="634" t="s">
        <v>1762</v>
      </c>
      <c r="BE27" s="77"/>
      <c r="BF27" s="77"/>
      <c r="BG27" s="77"/>
      <c r="BH27" s="77"/>
      <c r="BI27" s="654"/>
      <c r="BJ27" s="652"/>
      <c r="BK27" s="653"/>
    </row>
    <row r="28" spans="1:63" x14ac:dyDescent="0.25">
      <c r="A28" s="620"/>
      <c r="D28" s="29"/>
      <c r="E28" s="633"/>
      <c r="F28" s="634"/>
      <c r="G28" s="633"/>
      <c r="H28" s="633"/>
      <c r="I28" s="633" t="s">
        <v>1763</v>
      </c>
      <c r="J28" s="657"/>
      <c r="K28" s="660"/>
      <c r="L28" s="661"/>
      <c r="M28" s="649"/>
      <c r="N28" s="649"/>
      <c r="O28" s="650"/>
      <c r="P28" s="196"/>
      <c r="Q28" s="29"/>
      <c r="R28" s="29"/>
      <c r="S28" s="29"/>
      <c r="U28" s="29"/>
      <c r="X28" s="620"/>
      <c r="AC28" s="650"/>
      <c r="AD28" s="620"/>
      <c r="AI28" s="77" t="s">
        <v>1764</v>
      </c>
      <c r="AK28" s="650"/>
      <c r="AL28" s="634"/>
      <c r="AM28" s="651"/>
      <c r="AN28" s="652"/>
      <c r="AO28" s="77"/>
      <c r="AP28" s="652"/>
      <c r="AQ28" s="645" t="s">
        <v>1095</v>
      </c>
      <c r="AR28" s="77" t="s">
        <v>1765</v>
      </c>
      <c r="AS28" s="652"/>
      <c r="AT28" s="653"/>
      <c r="AU28" s="634"/>
      <c r="AV28" s="77"/>
      <c r="AW28" s="77"/>
      <c r="AX28" s="77"/>
      <c r="AY28" s="77"/>
      <c r="AZ28" s="645" t="s">
        <v>1095</v>
      </c>
      <c r="BA28" s="654" t="s">
        <v>1766</v>
      </c>
      <c r="BB28" s="652"/>
      <c r="BC28" s="653"/>
      <c r="BD28" s="634"/>
      <c r="BE28" s="77" t="s">
        <v>1767</v>
      </c>
      <c r="BF28" s="77"/>
      <c r="BG28" s="77"/>
      <c r="BH28" s="77"/>
      <c r="BI28" s="654"/>
      <c r="BJ28" s="652"/>
      <c r="BK28" s="653"/>
    </row>
    <row r="29" spans="1:63" x14ac:dyDescent="0.25">
      <c r="A29" s="620"/>
      <c r="D29" s="29"/>
      <c r="E29" s="633"/>
      <c r="F29" s="634"/>
      <c r="G29" s="633"/>
      <c r="H29" s="633"/>
      <c r="I29" s="633" t="s">
        <v>1768</v>
      </c>
      <c r="J29" s="657"/>
      <c r="K29" s="660"/>
      <c r="L29" s="661"/>
      <c r="M29" s="649"/>
      <c r="N29" s="649"/>
      <c r="O29" s="650"/>
      <c r="Q29" s="29"/>
      <c r="R29" s="29"/>
      <c r="S29" s="29"/>
      <c r="U29" s="29"/>
      <c r="X29" s="620"/>
      <c r="AC29" s="650"/>
      <c r="AD29" s="620"/>
      <c r="AI29" s="77" t="s">
        <v>1769</v>
      </c>
      <c r="AK29" s="650"/>
      <c r="AL29" s="634" t="s">
        <v>1770</v>
      </c>
      <c r="AM29" s="651"/>
      <c r="AN29" s="652"/>
      <c r="AO29" s="77"/>
      <c r="AP29" s="652"/>
      <c r="AQ29" s="645"/>
      <c r="AR29" s="77" t="s">
        <v>1771</v>
      </c>
      <c r="AS29" s="652"/>
      <c r="AT29" s="653"/>
      <c r="AU29" s="634"/>
      <c r="AV29" s="77"/>
      <c r="AW29" s="77"/>
      <c r="AX29" s="77"/>
      <c r="AY29" s="77"/>
      <c r="AZ29" s="645"/>
      <c r="BA29" s="654" t="s">
        <v>1772</v>
      </c>
      <c r="BB29" s="652"/>
      <c r="BC29" s="653"/>
      <c r="BD29" s="634"/>
      <c r="BE29" s="77" t="s">
        <v>1773</v>
      </c>
      <c r="BF29" s="77"/>
      <c r="BG29" s="77"/>
      <c r="BH29" s="77"/>
      <c r="BI29" s="654"/>
      <c r="BJ29" s="652"/>
      <c r="BK29" s="653"/>
    </row>
    <row r="30" spans="1:63" x14ac:dyDescent="0.25">
      <c r="A30" s="620"/>
      <c r="D30" s="29"/>
      <c r="E30" s="633"/>
      <c r="F30" s="634"/>
      <c r="G30" s="633"/>
      <c r="H30" s="633"/>
      <c r="I30" s="633" t="s">
        <v>1774</v>
      </c>
      <c r="J30" s="657"/>
      <c r="K30" s="648"/>
      <c r="M30" s="649"/>
      <c r="N30" s="649"/>
      <c r="O30" s="650"/>
      <c r="U30" s="29"/>
      <c r="X30" s="620"/>
      <c r="AC30" s="650"/>
      <c r="AD30" s="620"/>
      <c r="AI30" s="77" t="s">
        <v>1775</v>
      </c>
      <c r="AK30" s="650"/>
      <c r="AL30" s="634"/>
      <c r="AM30" s="198"/>
      <c r="AN30" s="1" t="s">
        <v>1776</v>
      </c>
      <c r="AO30" s="77" t="s">
        <v>1664</v>
      </c>
      <c r="AQ30" s="645"/>
      <c r="AR30" s="77" t="s">
        <v>1777</v>
      </c>
      <c r="AT30" s="650"/>
      <c r="AU30" s="634"/>
      <c r="AV30" s="77"/>
      <c r="AW30" s="77"/>
      <c r="AX30" s="77"/>
      <c r="AY30" s="77"/>
      <c r="AZ30" s="645"/>
      <c r="BA30" s="77"/>
      <c r="BC30" s="650"/>
      <c r="BD30" s="634"/>
      <c r="BE30" s="77" t="s">
        <v>1778</v>
      </c>
      <c r="BF30" s="77"/>
      <c r="BG30" s="77"/>
      <c r="BH30" s="77"/>
      <c r="BI30" s="77"/>
      <c r="BK30" s="650"/>
    </row>
    <row r="31" spans="1:63" x14ac:dyDescent="0.25">
      <c r="A31" s="620"/>
      <c r="D31" s="29"/>
      <c r="E31" s="633"/>
      <c r="F31" s="634"/>
      <c r="G31" s="633"/>
      <c r="H31" s="633"/>
      <c r="I31" s="633"/>
      <c r="J31" s="657"/>
      <c r="K31" s="659" t="s">
        <v>1779</v>
      </c>
      <c r="O31" s="650"/>
      <c r="X31" s="620"/>
      <c r="AC31" s="650"/>
      <c r="AD31" s="620"/>
      <c r="AI31" s="77" t="s">
        <v>1780</v>
      </c>
      <c r="AK31" s="650"/>
      <c r="AL31" s="634"/>
      <c r="AM31" s="198"/>
      <c r="AO31" s="77" t="s">
        <v>1680</v>
      </c>
      <c r="AQ31" s="645" t="s">
        <v>1095</v>
      </c>
      <c r="AR31" s="77" t="s">
        <v>1781</v>
      </c>
      <c r="AT31" s="650"/>
      <c r="AU31" s="634"/>
      <c r="AV31" s="77"/>
      <c r="AW31" s="77"/>
      <c r="AX31" s="77"/>
      <c r="AY31" s="77"/>
      <c r="AZ31" s="645"/>
      <c r="BA31" s="77"/>
      <c r="BC31" s="650"/>
      <c r="BD31" s="634"/>
      <c r="BE31" s="77" t="s">
        <v>1782</v>
      </c>
      <c r="BF31" s="77"/>
      <c r="BG31" s="77"/>
      <c r="BH31" s="77"/>
      <c r="BI31" s="77"/>
      <c r="BK31" s="650"/>
    </row>
    <row r="32" spans="1:63" x14ac:dyDescent="0.25">
      <c r="A32" s="620"/>
      <c r="D32" s="29"/>
      <c r="E32" s="633"/>
      <c r="F32" s="634"/>
      <c r="G32" s="633"/>
      <c r="H32" s="633"/>
      <c r="I32" s="633"/>
      <c r="J32" s="657"/>
      <c r="K32" s="660"/>
      <c r="L32" s="661"/>
      <c r="M32" s="649"/>
      <c r="N32" s="649"/>
      <c r="O32" s="650"/>
      <c r="X32" s="620"/>
      <c r="AC32" s="650"/>
      <c r="AD32" s="620"/>
      <c r="AI32" s="77" t="s">
        <v>1783</v>
      </c>
      <c r="AK32" s="650"/>
      <c r="AL32" s="634"/>
      <c r="AM32" s="198"/>
      <c r="AO32" s="77" t="s">
        <v>1694</v>
      </c>
      <c r="AQ32" s="645"/>
      <c r="AR32" s="77"/>
      <c r="AT32" s="650"/>
      <c r="AU32" s="634"/>
      <c r="AV32" s="77"/>
      <c r="AW32" s="77"/>
      <c r="AX32" s="77"/>
      <c r="AY32" s="77"/>
      <c r="AZ32" s="645"/>
      <c r="BA32" s="77"/>
      <c r="BC32" s="650"/>
      <c r="BD32" s="634"/>
      <c r="BE32" s="77"/>
      <c r="BF32" s="77"/>
      <c r="BG32" s="77"/>
      <c r="BH32" s="77"/>
      <c r="BI32" s="77"/>
      <c r="BK32" s="650"/>
    </row>
    <row r="33" spans="1:63" x14ac:dyDescent="0.25">
      <c r="A33" s="620"/>
      <c r="D33" s="29"/>
      <c r="E33" s="633"/>
      <c r="F33" s="634"/>
      <c r="G33" s="633"/>
      <c r="H33" s="633"/>
      <c r="I33" s="633"/>
      <c r="J33" s="657"/>
      <c r="K33" s="660"/>
      <c r="L33" s="661"/>
      <c r="M33" s="649"/>
      <c r="N33" s="649"/>
      <c r="O33" s="650"/>
      <c r="X33" s="620"/>
      <c r="AC33" s="650"/>
      <c r="AD33" s="620"/>
      <c r="AI33" s="77" t="s">
        <v>1784</v>
      </c>
      <c r="AK33" s="650"/>
      <c r="AL33" s="634"/>
      <c r="AM33" s="198"/>
      <c r="AO33" s="77"/>
      <c r="AQ33" s="645"/>
      <c r="AR33" s="77"/>
      <c r="AT33" s="650"/>
      <c r="AU33" s="634"/>
      <c r="AV33" s="77"/>
      <c r="AW33" s="77"/>
      <c r="AX33" s="77"/>
      <c r="AY33" s="77"/>
      <c r="AZ33" s="645"/>
      <c r="BA33" s="77"/>
      <c r="BC33" s="650"/>
      <c r="BD33" s="634"/>
      <c r="BE33" s="77"/>
      <c r="BF33" s="77"/>
      <c r="BG33" s="77"/>
      <c r="BH33" s="77"/>
      <c r="BI33" s="77"/>
      <c r="BK33" s="650"/>
    </row>
    <row r="34" spans="1:63" x14ac:dyDescent="0.25">
      <c r="A34" s="620"/>
      <c r="D34" s="29"/>
      <c r="E34" s="633"/>
      <c r="F34" s="634"/>
      <c r="G34" s="633"/>
      <c r="H34" s="633"/>
      <c r="I34" s="633"/>
      <c r="J34" s="657"/>
      <c r="K34" s="660"/>
      <c r="L34" s="661"/>
      <c r="M34" s="649"/>
      <c r="N34" s="649"/>
      <c r="O34" s="650"/>
      <c r="X34" s="620"/>
      <c r="AC34" s="650"/>
      <c r="AD34" s="620"/>
      <c r="AI34" s="77" t="s">
        <v>1785</v>
      </c>
      <c r="AK34" s="650"/>
      <c r="AL34" s="634" t="s">
        <v>1786</v>
      </c>
      <c r="AM34" s="198"/>
      <c r="AO34" s="77"/>
      <c r="AQ34" s="645"/>
      <c r="AR34" s="77"/>
      <c r="AT34" s="650"/>
      <c r="AU34" s="634"/>
      <c r="AV34" s="77"/>
      <c r="AW34" s="77"/>
      <c r="AX34" s="77"/>
      <c r="AY34" s="77"/>
      <c r="AZ34" s="645"/>
      <c r="BA34" s="77"/>
      <c r="BC34" s="650"/>
      <c r="BD34" s="634"/>
      <c r="BE34" s="77"/>
      <c r="BF34" s="77"/>
      <c r="BG34" s="77"/>
      <c r="BH34" s="77"/>
      <c r="BI34" s="77"/>
      <c r="BK34" s="650"/>
    </row>
    <row r="35" spans="1:63" x14ac:dyDescent="0.25">
      <c r="A35" s="620"/>
      <c r="D35" s="29"/>
      <c r="E35" s="633"/>
      <c r="F35" s="634"/>
      <c r="G35" s="633"/>
      <c r="H35" s="633"/>
      <c r="I35" s="633"/>
      <c r="J35" s="657"/>
      <c r="K35" s="660"/>
      <c r="L35" s="661"/>
      <c r="M35" s="649"/>
      <c r="N35" s="649"/>
      <c r="O35" s="650"/>
      <c r="X35" s="620"/>
      <c r="AC35" s="650"/>
      <c r="AD35" s="620"/>
      <c r="AI35" s="77" t="s">
        <v>1787</v>
      </c>
      <c r="AK35" s="650"/>
      <c r="AL35" s="634"/>
      <c r="AM35" s="198"/>
      <c r="AO35" s="77"/>
      <c r="AQ35" s="645"/>
      <c r="AR35" s="77"/>
      <c r="AT35" s="650"/>
      <c r="AU35" s="634"/>
      <c r="AV35" s="77"/>
      <c r="AW35" s="77"/>
      <c r="AX35" s="77"/>
      <c r="AY35" s="77"/>
      <c r="AZ35" s="645"/>
      <c r="BA35" s="77"/>
      <c r="BC35" s="650"/>
      <c r="BD35" s="634"/>
      <c r="BE35" s="77"/>
      <c r="BF35" s="77"/>
      <c r="BG35" s="77"/>
      <c r="BH35" s="77"/>
      <c r="BI35" s="77"/>
      <c r="BK35" s="650"/>
    </row>
    <row r="36" spans="1:63" ht="15.75" thickBot="1" x14ac:dyDescent="0.3">
      <c r="A36" s="620"/>
      <c r="D36" s="29"/>
      <c r="E36" s="633"/>
      <c r="F36" s="634"/>
      <c r="G36" s="633"/>
      <c r="H36" s="633"/>
      <c r="I36" s="633"/>
      <c r="J36" s="657"/>
      <c r="K36" s="660"/>
      <c r="L36" s="661"/>
      <c r="M36" s="649"/>
      <c r="N36" s="649"/>
      <c r="O36" s="650"/>
      <c r="U36" s="77" t="s">
        <v>1606</v>
      </c>
      <c r="V36" s="77"/>
      <c r="X36" s="620"/>
      <c r="AC36" s="650"/>
      <c r="AD36" s="620"/>
      <c r="AI36" s="77" t="s">
        <v>1788</v>
      </c>
      <c r="AK36" s="650"/>
      <c r="AL36" s="634"/>
      <c r="AM36" s="198"/>
      <c r="AO36" s="77"/>
      <c r="AR36" s="77" t="s">
        <v>1789</v>
      </c>
      <c r="AT36" s="650"/>
      <c r="AU36" s="634"/>
      <c r="AV36" s="77"/>
      <c r="AW36" s="77"/>
      <c r="AX36" s="77"/>
      <c r="AY36" s="77"/>
      <c r="BA36" s="77" t="s">
        <v>1789</v>
      </c>
      <c r="BC36" s="650"/>
      <c r="BD36" s="634"/>
      <c r="BE36" s="77"/>
      <c r="BF36" s="77"/>
      <c r="BG36" s="77"/>
      <c r="BH36" s="77"/>
      <c r="BI36" s="77"/>
      <c r="BK36" s="650"/>
    </row>
    <row r="37" spans="1:63" ht="19.5" thickBot="1" x14ac:dyDescent="0.3">
      <c r="A37" s="593" t="s">
        <v>1608</v>
      </c>
      <c r="B37" s="594"/>
      <c r="C37" s="594"/>
      <c r="D37" s="595"/>
      <c r="E37" s="596" t="s">
        <v>1609</v>
      </c>
      <c r="F37" s="634"/>
      <c r="G37" s="633"/>
      <c r="H37" s="633"/>
      <c r="I37" s="633"/>
      <c r="J37" s="633"/>
      <c r="K37" s="662"/>
      <c r="L37" s="663"/>
      <c r="M37" s="664"/>
      <c r="N37" s="664"/>
      <c r="O37" s="665"/>
      <c r="U37" s="77"/>
      <c r="V37" s="77" t="s">
        <v>1610</v>
      </c>
      <c r="W37" s="663"/>
      <c r="X37" s="666"/>
      <c r="Y37" s="663"/>
      <c r="Z37" s="663"/>
      <c r="AA37" s="663"/>
      <c r="AB37" s="663"/>
      <c r="AC37" s="665"/>
      <c r="AD37" s="666"/>
      <c r="AE37" s="663"/>
      <c r="AF37" s="663"/>
      <c r="AG37" s="663"/>
      <c r="AH37" s="663"/>
      <c r="AI37" s="663"/>
      <c r="AJ37" s="663"/>
      <c r="AK37" s="665"/>
      <c r="AL37" s="667"/>
      <c r="AM37" s="668"/>
      <c r="AN37" s="663"/>
      <c r="AO37" s="669"/>
      <c r="AP37" s="663"/>
      <c r="AQ37" s="663"/>
      <c r="AR37" s="669"/>
      <c r="AS37" s="663"/>
      <c r="AT37" s="665"/>
      <c r="AU37" s="667"/>
      <c r="AV37" s="669"/>
      <c r="AW37" s="669"/>
      <c r="AX37" s="669"/>
      <c r="AY37" s="669"/>
      <c r="AZ37" s="663"/>
      <c r="BA37" s="669"/>
      <c r="BB37" s="663"/>
      <c r="BC37" s="665"/>
      <c r="BD37" s="667"/>
      <c r="BE37" s="669"/>
      <c r="BF37" s="669"/>
      <c r="BG37" s="669"/>
      <c r="BH37" s="669"/>
      <c r="BI37" s="669"/>
      <c r="BJ37" s="663"/>
      <c r="BK37" s="665"/>
    </row>
    <row r="38" spans="1:63" ht="27" thickBot="1" x14ac:dyDescent="0.3">
      <c r="A38" s="670" t="s">
        <v>1790</v>
      </c>
      <c r="B38" s="671"/>
      <c r="C38" s="671"/>
      <c r="D38" s="671"/>
      <c r="E38" s="672" t="s">
        <v>1004</v>
      </c>
      <c r="F38" s="673" t="s">
        <v>1614</v>
      </c>
      <c r="G38" s="674"/>
      <c r="H38" s="674"/>
      <c r="I38" s="674"/>
      <c r="J38" s="947" t="s">
        <v>1615</v>
      </c>
      <c r="K38" s="948" t="s">
        <v>1616</v>
      </c>
      <c r="L38" s="949"/>
      <c r="M38" s="949"/>
      <c r="N38" s="949"/>
      <c r="O38" s="950"/>
      <c r="P38" s="603" t="s">
        <v>1617</v>
      </c>
      <c r="Q38" s="604"/>
      <c r="R38" s="604"/>
      <c r="S38" s="604"/>
      <c r="T38" s="604"/>
      <c r="U38" s="604"/>
      <c r="V38" s="604"/>
      <c r="W38" s="675"/>
      <c r="X38" s="605" t="s">
        <v>1618</v>
      </c>
      <c r="Y38" s="606"/>
      <c r="Z38" s="606"/>
      <c r="AA38" s="606"/>
      <c r="AB38" s="606"/>
      <c r="AC38" s="607"/>
      <c r="AD38" s="608" t="s">
        <v>1619</v>
      </c>
      <c r="AE38" s="609"/>
      <c r="AF38" s="609"/>
      <c r="AG38" s="609"/>
      <c r="AH38" s="609"/>
      <c r="AI38" s="609"/>
      <c r="AJ38" s="609"/>
      <c r="AK38" s="610"/>
      <c r="AL38" s="611" t="s">
        <v>1620</v>
      </c>
      <c r="AM38" s="612"/>
      <c r="AN38" s="612"/>
      <c r="AO38" s="612"/>
      <c r="AP38" s="612"/>
      <c r="AQ38" s="612"/>
      <c r="AR38" s="612"/>
      <c r="AS38" s="612"/>
      <c r="AT38" s="613"/>
      <c r="AU38" s="614" t="s">
        <v>1621</v>
      </c>
      <c r="AV38" s="615"/>
      <c r="AW38" s="615"/>
      <c r="AX38" s="615"/>
      <c r="AY38" s="615"/>
      <c r="AZ38" s="615"/>
      <c r="BA38" s="615"/>
      <c r="BB38" s="615"/>
      <c r="BC38" s="616"/>
      <c r="BD38" s="617" t="s">
        <v>1622</v>
      </c>
      <c r="BE38" s="618"/>
      <c r="BF38" s="618"/>
      <c r="BG38" s="618"/>
      <c r="BH38" s="618"/>
      <c r="BI38" s="618"/>
      <c r="BJ38" s="618"/>
      <c r="BK38" s="619"/>
    </row>
    <row r="39" spans="1:63" ht="16.5" thickBot="1" x14ac:dyDescent="0.3">
      <c r="A39" s="620"/>
      <c r="C39" s="1"/>
      <c r="E39" s="621" t="s">
        <v>1623</v>
      </c>
      <c r="F39" s="621" t="s">
        <v>1624</v>
      </c>
      <c r="G39" s="621" t="s">
        <v>1625</v>
      </c>
      <c r="H39" s="621" t="s">
        <v>1626</v>
      </c>
      <c r="I39" s="621" t="s">
        <v>1627</v>
      </c>
      <c r="J39" s="937"/>
      <c r="K39" s="951"/>
      <c r="L39" s="952"/>
      <c r="M39" s="952"/>
      <c r="N39" s="952"/>
      <c r="O39" s="953"/>
      <c r="P39" s="623" t="s">
        <v>1628</v>
      </c>
      <c r="Q39" s="623" t="s">
        <v>1629</v>
      </c>
      <c r="R39" s="623" t="s">
        <v>1630</v>
      </c>
      <c r="S39" s="623" t="s">
        <v>1631</v>
      </c>
      <c r="T39" s="623" t="s">
        <v>1632</v>
      </c>
      <c r="U39" s="623" t="s">
        <v>1633</v>
      </c>
      <c r="V39" s="623" t="s">
        <v>1634</v>
      </c>
      <c r="W39" s="623" t="s">
        <v>1635</v>
      </c>
      <c r="X39" s="623" t="s">
        <v>1636</v>
      </c>
      <c r="Y39" s="623" t="s">
        <v>1637</v>
      </c>
      <c r="Z39" s="623" t="s">
        <v>1638</v>
      </c>
      <c r="AA39" s="623" t="s">
        <v>1639</v>
      </c>
      <c r="AB39" s="623" t="s">
        <v>1640</v>
      </c>
      <c r="AC39" s="623" t="s">
        <v>1641</v>
      </c>
      <c r="AD39" s="625" t="s">
        <v>1642</v>
      </c>
      <c r="AE39" s="626"/>
      <c r="AF39" s="626"/>
      <c r="AG39" s="626"/>
      <c r="AH39" s="626"/>
      <c r="AI39" s="626"/>
      <c r="AJ39" s="626"/>
      <c r="AK39" s="627"/>
      <c r="AL39" s="628" t="s">
        <v>1643</v>
      </c>
      <c r="AM39" s="629"/>
      <c r="AN39" s="630"/>
      <c r="AO39" s="628" t="s">
        <v>1644</v>
      </c>
      <c r="AP39" s="630"/>
      <c r="AQ39" s="623" t="s">
        <v>1095</v>
      </c>
      <c r="AR39" s="629" t="s">
        <v>1645</v>
      </c>
      <c r="AS39" s="629"/>
      <c r="AT39" s="630"/>
      <c r="AU39" s="628" t="s">
        <v>1646</v>
      </c>
      <c r="AV39" s="629"/>
      <c r="AW39" s="629"/>
      <c r="AX39" s="629"/>
      <c r="AY39" s="630"/>
      <c r="AZ39" s="623" t="s">
        <v>1095</v>
      </c>
      <c r="BA39" s="629" t="s">
        <v>1647</v>
      </c>
      <c r="BB39" s="629"/>
      <c r="BC39" s="630"/>
      <c r="BD39" s="624"/>
      <c r="BE39" s="631"/>
      <c r="BF39" s="631"/>
      <c r="BG39" s="631"/>
      <c r="BH39" s="631"/>
      <c r="BI39" s="631"/>
      <c r="BJ39" s="631"/>
      <c r="BK39" s="632"/>
    </row>
    <row r="40" spans="1:63" x14ac:dyDescent="0.25">
      <c r="A40" s="620"/>
      <c r="E40" s="676" t="s">
        <v>1791</v>
      </c>
      <c r="F40" s="676" t="s">
        <v>1649</v>
      </c>
      <c r="G40" s="676" t="s">
        <v>1792</v>
      </c>
      <c r="H40" s="676" t="s">
        <v>1793</v>
      </c>
      <c r="I40" s="676" t="s">
        <v>1203</v>
      </c>
      <c r="J40" s="676" t="s">
        <v>82</v>
      </c>
      <c r="K40" s="635" t="s">
        <v>1652</v>
      </c>
      <c r="L40" s="636"/>
      <c r="M40" s="636"/>
      <c r="N40" s="636"/>
      <c r="O40" s="637"/>
      <c r="P40" s="640"/>
      <c r="Q40" s="636"/>
      <c r="R40" s="636"/>
      <c r="S40" s="636"/>
      <c r="T40" s="636"/>
      <c r="U40" s="636"/>
      <c r="V40" s="636"/>
      <c r="W40" s="637"/>
      <c r="X40" s="640"/>
      <c r="Y40" s="636"/>
      <c r="Z40" s="636"/>
      <c r="AA40" s="636"/>
      <c r="AB40" s="636"/>
      <c r="AC40" s="935"/>
      <c r="AD40" s="938"/>
      <c r="AE40" s="939"/>
      <c r="AF40" s="939"/>
      <c r="AG40" s="939"/>
      <c r="AH40" s="939"/>
      <c r="AI40" s="939"/>
      <c r="AJ40" s="939"/>
      <c r="AK40" s="940"/>
      <c r="AL40" s="641"/>
      <c r="AM40" s="642"/>
      <c r="AN40" s="643"/>
      <c r="AO40" s="644"/>
      <c r="AP40" s="643"/>
      <c r="AQ40" s="645"/>
      <c r="AR40" s="77" t="s">
        <v>1665</v>
      </c>
      <c r="AS40" s="643"/>
      <c r="AT40" s="646"/>
      <c r="AU40" s="641" t="s">
        <v>1666</v>
      </c>
      <c r="AV40" s="644"/>
      <c r="AW40" s="644"/>
      <c r="AX40" s="644"/>
      <c r="AY40" s="644"/>
      <c r="AZ40" s="645"/>
      <c r="BA40" s="647" t="s">
        <v>1667</v>
      </c>
      <c r="BB40" s="643"/>
      <c r="BC40" s="646"/>
      <c r="BD40" s="641" t="s">
        <v>1668</v>
      </c>
      <c r="BE40" s="644"/>
      <c r="BF40" s="644"/>
      <c r="BG40" s="644"/>
      <c r="BH40" s="644"/>
      <c r="BI40" s="647"/>
      <c r="BJ40" s="643"/>
      <c r="BK40" s="646"/>
    </row>
    <row r="41" spans="1:63" x14ac:dyDescent="0.25">
      <c r="A41" s="620"/>
      <c r="D41" s="29"/>
      <c r="E41" s="633" t="s">
        <v>1794</v>
      </c>
      <c r="F41" s="633" t="s">
        <v>1670</v>
      </c>
      <c r="G41" s="633" t="s">
        <v>1671</v>
      </c>
      <c r="H41" s="633" t="s">
        <v>1795</v>
      </c>
      <c r="I41" s="633" t="s">
        <v>1796</v>
      </c>
      <c r="J41" s="633" t="s">
        <v>15</v>
      </c>
      <c r="K41" s="648" t="s">
        <v>1797</v>
      </c>
      <c r="M41" s="649" t="s">
        <v>1798</v>
      </c>
      <c r="N41" s="649"/>
      <c r="O41" s="650"/>
      <c r="P41" s="620"/>
      <c r="W41" s="650"/>
      <c r="X41" s="620"/>
      <c r="AC41" s="936"/>
      <c r="AD41" s="941"/>
      <c r="AE41" s="942"/>
      <c r="AF41" s="942"/>
      <c r="AG41" s="942"/>
      <c r="AH41" s="942"/>
      <c r="AI41" s="942"/>
      <c r="AJ41" s="942"/>
      <c r="AK41" s="943"/>
      <c r="AL41" s="634"/>
      <c r="AM41" s="651"/>
      <c r="AN41" s="652"/>
      <c r="AO41" s="77"/>
      <c r="AP41" s="652"/>
      <c r="AQ41" s="645"/>
      <c r="AR41" s="77" t="s">
        <v>1681</v>
      </c>
      <c r="AS41" s="652"/>
      <c r="AT41" s="653"/>
      <c r="AU41" s="634"/>
      <c r="AV41" s="77" t="s">
        <v>1682</v>
      </c>
      <c r="AW41" s="77"/>
      <c r="AX41" s="77"/>
      <c r="AY41" s="77"/>
      <c r="AZ41" s="645"/>
      <c r="BA41" s="654" t="s">
        <v>1683</v>
      </c>
      <c r="BB41" s="652"/>
      <c r="BC41" s="653"/>
      <c r="BD41" s="634"/>
      <c r="BE41" s="77" t="s">
        <v>1684</v>
      </c>
      <c r="BF41" s="77"/>
      <c r="BG41" s="77"/>
      <c r="BH41" s="77"/>
      <c r="BI41" s="654"/>
      <c r="BK41" s="653"/>
    </row>
    <row r="42" spans="1:63" x14ac:dyDescent="0.25">
      <c r="A42" s="620"/>
      <c r="D42" s="29"/>
      <c r="E42" s="633"/>
      <c r="F42" s="633" t="s">
        <v>1706</v>
      </c>
      <c r="G42" s="633" t="s">
        <v>1685</v>
      </c>
      <c r="H42" s="633" t="s">
        <v>220</v>
      </c>
      <c r="I42" s="633" t="s">
        <v>1799</v>
      </c>
      <c r="J42" s="633" t="s">
        <v>1800</v>
      </c>
      <c r="K42" s="648" t="s">
        <v>1801</v>
      </c>
      <c r="M42" s="649" t="s">
        <v>1802</v>
      </c>
      <c r="N42" s="649"/>
      <c r="O42" s="650"/>
      <c r="P42" s="620"/>
      <c r="W42" s="650"/>
      <c r="X42" s="620"/>
      <c r="Z42" s="77"/>
      <c r="AC42" s="936"/>
      <c r="AD42" s="941"/>
      <c r="AE42" s="942"/>
      <c r="AF42" s="942"/>
      <c r="AG42" s="942"/>
      <c r="AH42" s="942"/>
      <c r="AI42" s="942"/>
      <c r="AJ42" s="942"/>
      <c r="AK42" s="943"/>
      <c r="AL42" s="634"/>
      <c r="AM42" s="651"/>
      <c r="AN42" s="652"/>
      <c r="AO42" s="77"/>
      <c r="AP42" s="652"/>
      <c r="AQ42" s="645"/>
      <c r="AR42" s="77" t="s">
        <v>1695</v>
      </c>
      <c r="AS42" s="652"/>
      <c r="AT42" s="653"/>
      <c r="AU42" s="634"/>
      <c r="AV42" s="77" t="s">
        <v>1696</v>
      </c>
      <c r="AW42" s="77"/>
      <c r="AX42" s="77"/>
      <c r="AY42" s="77"/>
      <c r="AZ42" s="645"/>
      <c r="BA42" s="654" t="s">
        <v>1660</v>
      </c>
      <c r="BB42" s="652"/>
      <c r="BC42" s="653"/>
      <c r="BD42" s="634"/>
      <c r="BE42" s="77"/>
      <c r="BF42" s="77"/>
      <c r="BG42" s="77"/>
      <c r="BH42" s="77"/>
      <c r="BI42" s="2" t="s">
        <v>1697</v>
      </c>
      <c r="BK42" s="653"/>
    </row>
    <row r="43" spans="1:63" x14ac:dyDescent="0.25">
      <c r="A43" s="620"/>
      <c r="D43" s="29"/>
      <c r="E43" s="633"/>
      <c r="F43" s="633" t="s">
        <v>56</v>
      </c>
      <c r="G43" s="633"/>
      <c r="H43" s="655" t="s">
        <v>1803</v>
      </c>
      <c r="I43" s="633" t="s">
        <v>1804</v>
      </c>
      <c r="J43" s="633"/>
      <c r="K43" s="648" t="s">
        <v>1701</v>
      </c>
      <c r="M43" s="649" t="s">
        <v>1805</v>
      </c>
      <c r="N43" s="649"/>
      <c r="O43" s="650"/>
      <c r="P43" s="620"/>
      <c r="W43" s="650"/>
      <c r="X43" s="656"/>
      <c r="Y43" s="2"/>
      <c r="Z43" s="77"/>
      <c r="AB43" s="2"/>
      <c r="AC43" s="936"/>
      <c r="AD43" s="941"/>
      <c r="AE43" s="942"/>
      <c r="AF43" s="942"/>
      <c r="AG43" s="942"/>
      <c r="AH43" s="942"/>
      <c r="AI43" s="942"/>
      <c r="AJ43" s="942"/>
      <c r="AK43" s="943"/>
      <c r="AL43" s="634"/>
      <c r="AM43" s="651"/>
      <c r="AN43" s="652"/>
      <c r="AO43" s="77"/>
      <c r="AP43" s="652"/>
      <c r="AQ43" s="645"/>
      <c r="AR43" s="77" t="s">
        <v>1707</v>
      </c>
      <c r="AS43" s="652"/>
      <c r="AT43" s="653"/>
      <c r="AU43" s="634"/>
      <c r="AV43" s="77" t="s">
        <v>1708</v>
      </c>
      <c r="AW43" s="77"/>
      <c r="AX43" s="77"/>
      <c r="AY43" s="77"/>
      <c r="AZ43" s="645"/>
      <c r="BA43" s="654" t="s">
        <v>1709</v>
      </c>
      <c r="BB43" s="652"/>
      <c r="BC43" s="653"/>
      <c r="BD43" s="634"/>
      <c r="BE43" s="77"/>
      <c r="BF43" s="77"/>
      <c r="BG43" s="77"/>
      <c r="BH43" s="77"/>
      <c r="BI43" s="652" t="s">
        <v>1710</v>
      </c>
      <c r="BK43" s="653"/>
    </row>
    <row r="44" spans="1:63" x14ac:dyDescent="0.25">
      <c r="A44" s="620"/>
      <c r="E44" s="633"/>
      <c r="F44" s="633"/>
      <c r="G44" s="633"/>
      <c r="H44" s="633" t="s">
        <v>1228</v>
      </c>
      <c r="I44" s="633" t="s">
        <v>1806</v>
      </c>
      <c r="J44" s="633"/>
      <c r="K44" s="648" t="s">
        <v>1724</v>
      </c>
      <c r="M44" s="649" t="s">
        <v>1807</v>
      </c>
      <c r="N44" s="649"/>
      <c r="O44" s="650"/>
      <c r="P44" s="620"/>
      <c r="W44" s="650"/>
      <c r="X44" s="620"/>
      <c r="Z44" s="77"/>
      <c r="AC44" s="936"/>
      <c r="AD44" s="941"/>
      <c r="AE44" s="942"/>
      <c r="AF44" s="942"/>
      <c r="AG44" s="942"/>
      <c r="AH44" s="942"/>
      <c r="AI44" s="942"/>
      <c r="AJ44" s="942"/>
      <c r="AK44" s="943"/>
      <c r="AL44" s="634"/>
      <c r="AM44" s="651"/>
      <c r="AN44" s="652"/>
      <c r="AO44" s="77"/>
      <c r="AP44" s="652"/>
      <c r="AQ44" s="645"/>
      <c r="AR44" s="77" t="s">
        <v>1718</v>
      </c>
      <c r="AS44" s="652"/>
      <c r="AT44" s="653"/>
      <c r="AU44" s="634"/>
      <c r="AV44" s="77" t="s">
        <v>1719</v>
      </c>
      <c r="AW44" s="77"/>
      <c r="AX44" s="77"/>
      <c r="AY44" s="77"/>
      <c r="AZ44" s="645"/>
      <c r="BA44" s="654" t="s">
        <v>1720</v>
      </c>
      <c r="BB44" s="652"/>
      <c r="BC44" s="653"/>
      <c r="BD44" s="634"/>
      <c r="BE44" s="77"/>
      <c r="BF44" s="77"/>
      <c r="BG44" s="77"/>
      <c r="BH44" s="77"/>
      <c r="BI44" s="652" t="s">
        <v>1721</v>
      </c>
      <c r="BK44" s="653"/>
    </row>
    <row r="45" spans="1:63" x14ac:dyDescent="0.25">
      <c r="A45" s="620"/>
      <c r="E45" s="633"/>
      <c r="F45" s="633"/>
      <c r="G45" s="633"/>
      <c r="H45" s="633" t="s">
        <v>1739</v>
      </c>
      <c r="I45" s="633" t="s">
        <v>1808</v>
      </c>
      <c r="J45" s="633"/>
      <c r="K45" s="648" t="s">
        <v>1733</v>
      </c>
      <c r="M45" s="649" t="s">
        <v>1725</v>
      </c>
      <c r="N45" s="649"/>
      <c r="O45" s="650"/>
      <c r="P45" s="620"/>
      <c r="W45" s="650"/>
      <c r="X45" s="620"/>
      <c r="Z45" s="77"/>
      <c r="AC45" s="936"/>
      <c r="AD45" s="941"/>
      <c r="AE45" s="942"/>
      <c r="AF45" s="942"/>
      <c r="AG45" s="942"/>
      <c r="AH45" s="942"/>
      <c r="AI45" s="942"/>
      <c r="AJ45" s="942"/>
      <c r="AK45" s="943"/>
      <c r="AL45" s="634"/>
      <c r="AM45" s="651"/>
      <c r="AN45" s="652"/>
      <c r="AO45" s="77"/>
      <c r="AP45" s="652"/>
      <c r="AQ45" s="645"/>
      <c r="AR45" s="77" t="s">
        <v>1728</v>
      </c>
      <c r="AS45" s="652"/>
      <c r="AT45" s="653"/>
      <c r="AU45" s="634"/>
      <c r="AV45" s="77" t="s">
        <v>1729</v>
      </c>
      <c r="AW45" s="77"/>
      <c r="AX45" s="77"/>
      <c r="AY45" s="77"/>
      <c r="AZ45" s="645"/>
      <c r="BA45" s="654" t="s">
        <v>1730</v>
      </c>
      <c r="BB45" s="652"/>
      <c r="BC45" s="653"/>
      <c r="BD45" s="634"/>
      <c r="BE45" s="77"/>
      <c r="BF45" s="77"/>
      <c r="BG45" s="77"/>
      <c r="BH45" s="77"/>
      <c r="BI45" s="652" t="s">
        <v>1731</v>
      </c>
      <c r="BK45" s="653"/>
    </row>
    <row r="46" spans="1:63" x14ac:dyDescent="0.25">
      <c r="A46" s="620"/>
      <c r="E46" s="633"/>
      <c r="F46" s="633"/>
      <c r="G46" s="633"/>
      <c r="H46" s="633" t="s">
        <v>1746</v>
      </c>
      <c r="I46" s="633" t="s">
        <v>1809</v>
      </c>
      <c r="J46" s="633"/>
      <c r="K46" s="648"/>
      <c r="M46" s="649"/>
      <c r="N46" s="649"/>
      <c r="O46" s="650"/>
      <c r="P46" s="620"/>
      <c r="W46" s="650"/>
      <c r="X46" s="620"/>
      <c r="Z46" s="677"/>
      <c r="AC46" s="936"/>
      <c r="AD46" s="941"/>
      <c r="AE46" s="942"/>
      <c r="AF46" s="942"/>
      <c r="AG46" s="942"/>
      <c r="AH46" s="942"/>
      <c r="AI46" s="942"/>
      <c r="AJ46" s="942"/>
      <c r="AK46" s="943"/>
      <c r="AL46" s="634"/>
      <c r="AM46" s="651"/>
      <c r="AN46" s="652"/>
      <c r="AO46" s="77"/>
      <c r="AP46" s="652"/>
      <c r="AQ46" s="645"/>
      <c r="AR46" s="77" t="s">
        <v>1734</v>
      </c>
      <c r="AS46" s="652"/>
      <c r="AT46" s="653"/>
      <c r="AU46" s="634"/>
      <c r="AV46" s="77" t="s">
        <v>1735</v>
      </c>
      <c r="AW46" s="77"/>
      <c r="AX46" s="77"/>
      <c r="AY46" s="77"/>
      <c r="AZ46" s="645"/>
      <c r="BA46" s="654" t="s">
        <v>1736</v>
      </c>
      <c r="BB46" s="652"/>
      <c r="BC46" s="653"/>
      <c r="BD46" s="634"/>
      <c r="BE46" s="77" t="s">
        <v>1737</v>
      </c>
      <c r="BF46" s="77"/>
      <c r="BG46" s="77"/>
      <c r="BH46" s="77"/>
      <c r="BI46" s="652" t="s">
        <v>1738</v>
      </c>
      <c r="BK46" s="653"/>
    </row>
    <row r="47" spans="1:63" x14ac:dyDescent="0.25">
      <c r="A47" s="620"/>
      <c r="E47" s="633"/>
      <c r="F47" s="633"/>
      <c r="G47" s="633"/>
      <c r="H47" s="633" t="s">
        <v>1753</v>
      </c>
      <c r="I47" s="633" t="s">
        <v>1810</v>
      </c>
      <c r="J47" s="633"/>
      <c r="K47" s="659" t="s">
        <v>1741</v>
      </c>
      <c r="O47" s="650"/>
      <c r="P47" s="620"/>
      <c r="W47" s="650"/>
      <c r="X47" s="620"/>
      <c r="Z47" s="677"/>
      <c r="AC47" s="936"/>
      <c r="AD47" s="941"/>
      <c r="AE47" s="942"/>
      <c r="AF47" s="942"/>
      <c r="AG47" s="942"/>
      <c r="AH47" s="942"/>
      <c r="AI47" s="942"/>
      <c r="AJ47" s="942"/>
      <c r="AK47" s="943"/>
      <c r="AL47" s="634"/>
      <c r="AM47" s="651"/>
      <c r="AN47" s="652"/>
      <c r="AO47" s="77"/>
      <c r="AP47" s="652"/>
      <c r="AQ47" s="645"/>
      <c r="AR47" s="77" t="s">
        <v>1742</v>
      </c>
      <c r="AS47" s="652"/>
      <c r="AT47" s="653"/>
      <c r="AU47" s="634"/>
      <c r="AV47" s="77" t="s">
        <v>1743</v>
      </c>
      <c r="AW47" s="77"/>
      <c r="AX47" s="77"/>
      <c r="AY47" s="77"/>
      <c r="AZ47" s="645"/>
      <c r="BA47" s="654" t="s">
        <v>1744</v>
      </c>
      <c r="BB47" s="652"/>
      <c r="BC47" s="653"/>
      <c r="BD47" s="634"/>
      <c r="BE47" s="77"/>
      <c r="BF47" s="77"/>
      <c r="BG47" s="77"/>
      <c r="BH47" s="77"/>
      <c r="BI47" s="652" t="s">
        <v>1745</v>
      </c>
      <c r="BK47" s="653"/>
    </row>
    <row r="48" spans="1:63" x14ac:dyDescent="0.25">
      <c r="A48" s="620"/>
      <c r="E48" s="633"/>
      <c r="F48" s="633"/>
      <c r="G48" s="633"/>
      <c r="H48" s="633"/>
      <c r="I48" s="633" t="s">
        <v>1754</v>
      </c>
      <c r="J48" s="633"/>
      <c r="K48" s="660"/>
      <c r="L48" s="661"/>
      <c r="M48" s="649"/>
      <c r="N48" s="649"/>
      <c r="O48" s="650"/>
      <c r="P48" s="620"/>
      <c r="W48" s="650"/>
      <c r="X48" s="620"/>
      <c r="AC48" s="936"/>
      <c r="AD48" s="941"/>
      <c r="AE48" s="942"/>
      <c r="AF48" s="942"/>
      <c r="AG48" s="942"/>
      <c r="AH48" s="942"/>
      <c r="AI48" s="942"/>
      <c r="AJ48" s="942"/>
      <c r="AK48" s="943"/>
      <c r="AL48" s="634"/>
      <c r="AM48" s="651"/>
      <c r="AN48" s="652"/>
      <c r="AO48" s="77"/>
      <c r="AP48" s="652"/>
      <c r="AQ48" s="645"/>
      <c r="AR48" s="77" t="s">
        <v>1749</v>
      </c>
      <c r="AS48" s="652"/>
      <c r="AT48" s="653"/>
      <c r="AU48" s="634"/>
      <c r="AV48" s="77" t="s">
        <v>1750</v>
      </c>
      <c r="AW48" s="77"/>
      <c r="AX48" s="77"/>
      <c r="AY48" s="77"/>
      <c r="AZ48" s="645"/>
      <c r="BA48" s="654" t="s">
        <v>1751</v>
      </c>
      <c r="BB48" s="652"/>
      <c r="BC48" s="653"/>
      <c r="BD48" s="634"/>
      <c r="BE48" s="77"/>
      <c r="BF48" s="77"/>
      <c r="BG48" s="77"/>
      <c r="BH48" s="77"/>
      <c r="BI48" s="652" t="s">
        <v>1752</v>
      </c>
      <c r="BJ48" s="652"/>
      <c r="BK48" s="653"/>
    </row>
    <row r="49" spans="1:63" ht="15.75" thickBot="1" x14ac:dyDescent="0.3">
      <c r="A49" s="620"/>
      <c r="E49" s="633"/>
      <c r="F49" s="633"/>
      <c r="G49" s="633"/>
      <c r="H49" s="633"/>
      <c r="I49" s="633" t="s">
        <v>1811</v>
      </c>
      <c r="J49" s="633"/>
      <c r="K49" s="660"/>
      <c r="L49" s="661"/>
      <c r="M49" s="649"/>
      <c r="N49" s="649"/>
      <c r="O49" s="650"/>
      <c r="P49" s="620"/>
      <c r="W49" s="650"/>
      <c r="X49" s="620"/>
      <c r="AC49" s="936"/>
      <c r="AD49" s="944"/>
      <c r="AE49" s="945"/>
      <c r="AF49" s="945"/>
      <c r="AG49" s="945"/>
      <c r="AH49" s="945"/>
      <c r="AI49" s="945"/>
      <c r="AJ49" s="945"/>
      <c r="AK49" s="946"/>
      <c r="AL49" s="634"/>
      <c r="AM49" s="651"/>
      <c r="AN49" s="652"/>
      <c r="AO49" s="77"/>
      <c r="AP49" s="652"/>
      <c r="AQ49" s="645"/>
      <c r="AR49" s="77" t="s">
        <v>1756</v>
      </c>
      <c r="AS49" s="652"/>
      <c r="AT49" s="653"/>
      <c r="AU49" s="634"/>
      <c r="AV49" s="77"/>
      <c r="AW49" s="77"/>
      <c r="AX49" s="77"/>
      <c r="AY49" s="77"/>
      <c r="AZ49" s="645"/>
      <c r="BA49" s="654" t="s">
        <v>1757</v>
      </c>
      <c r="BB49" s="652"/>
      <c r="BC49" s="653"/>
      <c r="BD49" s="634"/>
      <c r="BE49" s="77"/>
      <c r="BF49" s="77"/>
      <c r="BG49" s="77"/>
      <c r="BH49" s="77"/>
      <c r="BI49" s="654"/>
      <c r="BJ49" s="652"/>
      <c r="BK49" s="653"/>
    </row>
    <row r="50" spans="1:63" ht="15.75" thickBot="1" x14ac:dyDescent="0.3">
      <c r="A50" s="620"/>
      <c r="E50" s="633"/>
      <c r="F50" s="633"/>
      <c r="G50" s="633"/>
      <c r="H50" s="633"/>
      <c r="I50" s="633" t="s">
        <v>1768</v>
      </c>
      <c r="J50" s="633"/>
      <c r="K50" s="660"/>
      <c r="L50" s="661"/>
      <c r="M50" s="649"/>
      <c r="N50" s="649"/>
      <c r="O50" s="650"/>
      <c r="P50" s="620"/>
      <c r="W50" s="650"/>
      <c r="X50" s="620"/>
      <c r="AC50" s="937"/>
      <c r="AD50" s="620"/>
      <c r="AI50" s="1" t="s">
        <v>1759</v>
      </c>
      <c r="AK50" s="650"/>
      <c r="AL50" s="634"/>
      <c r="AM50" s="651"/>
      <c r="AN50" s="652"/>
      <c r="AO50" s="77"/>
      <c r="AP50" s="652"/>
      <c r="AQ50" s="645"/>
      <c r="AR50" s="77" t="s">
        <v>1760</v>
      </c>
      <c r="AS50" s="652"/>
      <c r="AT50" s="653"/>
      <c r="AU50" s="634"/>
      <c r="AV50" s="77"/>
      <c r="AW50" s="77"/>
      <c r="AX50" s="77"/>
      <c r="AY50" s="77"/>
      <c r="AZ50" s="645"/>
      <c r="BA50" s="654" t="s">
        <v>1761</v>
      </c>
      <c r="BB50" s="652"/>
      <c r="BC50" s="653"/>
      <c r="BD50" s="634" t="s">
        <v>1762</v>
      </c>
      <c r="BE50" s="77"/>
      <c r="BF50" s="77"/>
      <c r="BG50" s="77"/>
      <c r="BH50" s="77"/>
      <c r="BI50" s="654"/>
      <c r="BJ50" s="652"/>
      <c r="BK50" s="653"/>
    </row>
    <row r="51" spans="1:63" x14ac:dyDescent="0.25">
      <c r="A51" s="620"/>
      <c r="E51" s="633"/>
      <c r="F51" s="633"/>
      <c r="G51" s="633"/>
      <c r="H51" s="633"/>
      <c r="I51" s="633" t="s">
        <v>1763</v>
      </c>
      <c r="J51" s="633"/>
      <c r="K51" s="660"/>
      <c r="L51" s="661"/>
      <c r="M51" s="649"/>
      <c r="N51" s="649"/>
      <c r="O51" s="650"/>
      <c r="P51" s="620"/>
      <c r="W51" s="650"/>
      <c r="X51" s="620"/>
      <c r="AC51" s="650"/>
      <c r="AD51" s="620"/>
      <c r="AI51" s="77" t="s">
        <v>1764</v>
      </c>
      <c r="AK51" s="650"/>
      <c r="AL51" s="634"/>
      <c r="AM51" s="651"/>
      <c r="AN51" s="652"/>
      <c r="AO51" s="77"/>
      <c r="AP51" s="652"/>
      <c r="AQ51" s="645"/>
      <c r="AR51" s="77" t="s">
        <v>1765</v>
      </c>
      <c r="AS51" s="652"/>
      <c r="AT51" s="653"/>
      <c r="AU51" s="634"/>
      <c r="AV51" s="77"/>
      <c r="AW51" s="77"/>
      <c r="AX51" s="77"/>
      <c r="AY51" s="77"/>
      <c r="AZ51" s="645"/>
      <c r="BA51" s="654" t="s">
        <v>1766</v>
      </c>
      <c r="BB51" s="652"/>
      <c r="BC51" s="653"/>
      <c r="BD51" s="634"/>
      <c r="BE51" s="77" t="s">
        <v>1767</v>
      </c>
      <c r="BF51" s="77"/>
      <c r="BG51" s="77"/>
      <c r="BH51" s="77"/>
      <c r="BI51" s="654"/>
      <c r="BJ51" s="652"/>
      <c r="BK51" s="653"/>
    </row>
    <row r="52" spans="1:63" x14ac:dyDescent="0.25">
      <c r="A52" s="620"/>
      <c r="E52" s="633"/>
      <c r="F52" s="633"/>
      <c r="G52" s="633"/>
      <c r="H52" s="633"/>
      <c r="I52" s="633" t="s">
        <v>1774</v>
      </c>
      <c r="J52" s="633"/>
      <c r="K52" s="660"/>
      <c r="L52" s="661"/>
      <c r="M52" s="649"/>
      <c r="N52" s="649"/>
      <c r="O52" s="650"/>
      <c r="P52" s="620"/>
      <c r="W52" s="650"/>
      <c r="X52" s="620"/>
      <c r="AC52" s="650"/>
      <c r="AD52" s="620"/>
      <c r="AI52" s="77" t="s">
        <v>1769</v>
      </c>
      <c r="AK52" s="650"/>
      <c r="AL52" s="634"/>
      <c r="AM52" s="651"/>
      <c r="AN52" s="652"/>
      <c r="AO52" s="77"/>
      <c r="AP52" s="652"/>
      <c r="AQ52" s="645"/>
      <c r="AR52" s="77" t="s">
        <v>1771</v>
      </c>
      <c r="AS52" s="652"/>
      <c r="AT52" s="653"/>
      <c r="AU52" s="634"/>
      <c r="AV52" s="77"/>
      <c r="AW52" s="77"/>
      <c r="AX52" s="77"/>
      <c r="AY52" s="77"/>
      <c r="AZ52" s="645"/>
      <c r="BA52" s="654" t="s">
        <v>1772</v>
      </c>
      <c r="BB52" s="652"/>
      <c r="BC52" s="653"/>
      <c r="BD52" s="634"/>
      <c r="BE52" s="77" t="s">
        <v>1773</v>
      </c>
      <c r="BF52" s="77"/>
      <c r="BG52" s="77"/>
      <c r="BH52" s="77"/>
      <c r="BI52" s="654"/>
      <c r="BJ52" s="652"/>
      <c r="BK52" s="653"/>
    </row>
    <row r="53" spans="1:63" x14ac:dyDescent="0.25">
      <c r="A53" s="620"/>
      <c r="E53" s="633"/>
      <c r="F53" s="633"/>
      <c r="G53" s="633"/>
      <c r="H53" s="633"/>
      <c r="I53" s="633"/>
      <c r="J53" s="633"/>
      <c r="K53" s="648"/>
      <c r="M53" s="649"/>
      <c r="N53" s="649"/>
      <c r="O53" s="650"/>
      <c r="P53" s="620"/>
      <c r="W53" s="650"/>
      <c r="X53" s="620"/>
      <c r="AC53" s="650"/>
      <c r="AD53" s="620"/>
      <c r="AI53" s="77" t="s">
        <v>1775</v>
      </c>
      <c r="AK53" s="650"/>
      <c r="AL53" s="634"/>
      <c r="AM53" s="198"/>
      <c r="AO53" s="77"/>
      <c r="AQ53" s="645"/>
      <c r="AR53" s="77" t="s">
        <v>1777</v>
      </c>
      <c r="AT53" s="650"/>
      <c r="AU53" s="634"/>
      <c r="AV53" s="77"/>
      <c r="AW53" s="77"/>
      <c r="AX53" s="77"/>
      <c r="AY53" s="77"/>
      <c r="AZ53" s="645"/>
      <c r="BA53" s="77"/>
      <c r="BC53" s="650"/>
      <c r="BD53" s="634"/>
      <c r="BE53" s="77" t="s">
        <v>1778</v>
      </c>
      <c r="BF53" s="77"/>
      <c r="BG53" s="77"/>
      <c r="BH53" s="77"/>
      <c r="BI53" s="77"/>
      <c r="BK53" s="650"/>
    </row>
    <row r="54" spans="1:63" x14ac:dyDescent="0.25">
      <c r="A54" s="620"/>
      <c r="E54" s="633"/>
      <c r="F54" s="633"/>
      <c r="G54" s="633"/>
      <c r="H54" s="633"/>
      <c r="I54" s="633"/>
      <c r="J54" s="633"/>
      <c r="K54" s="659" t="s">
        <v>1779</v>
      </c>
      <c r="O54" s="650"/>
      <c r="P54" s="620"/>
      <c r="W54" s="650"/>
      <c r="X54" s="620"/>
      <c r="AC54" s="650"/>
      <c r="AD54" s="620"/>
      <c r="AI54" s="77" t="s">
        <v>1780</v>
      </c>
      <c r="AK54" s="650"/>
      <c r="AL54" s="634"/>
      <c r="AM54" s="198"/>
      <c r="AO54" s="77"/>
      <c r="AQ54" s="645"/>
      <c r="AR54" s="77" t="s">
        <v>1781</v>
      </c>
      <c r="AT54" s="650"/>
      <c r="AU54" s="634"/>
      <c r="AV54" s="77"/>
      <c r="AW54" s="77"/>
      <c r="AX54" s="77"/>
      <c r="AY54" s="77"/>
      <c r="AZ54" s="645"/>
      <c r="BA54" s="77"/>
      <c r="BC54" s="650"/>
      <c r="BD54" s="634"/>
      <c r="BE54" s="77" t="s">
        <v>1782</v>
      </c>
      <c r="BF54" s="77"/>
      <c r="BG54" s="77"/>
      <c r="BH54" s="77"/>
      <c r="BI54" s="77"/>
      <c r="BK54" s="650"/>
    </row>
    <row r="55" spans="1:63" x14ac:dyDescent="0.25">
      <c r="A55" s="620"/>
      <c r="E55" s="633"/>
      <c r="F55" s="633"/>
      <c r="G55" s="633"/>
      <c r="H55" s="633"/>
      <c r="I55" s="633"/>
      <c r="J55" s="633"/>
      <c r="K55" s="660"/>
      <c r="L55" s="661"/>
      <c r="M55" s="649"/>
      <c r="N55" s="649"/>
      <c r="O55" s="650"/>
      <c r="P55" s="620"/>
      <c r="W55" s="650"/>
      <c r="X55" s="620"/>
      <c r="AC55" s="650"/>
      <c r="AD55" s="620"/>
      <c r="AI55" s="77" t="s">
        <v>1783</v>
      </c>
      <c r="AK55" s="650"/>
      <c r="AL55" s="634"/>
      <c r="AM55" s="198"/>
      <c r="AO55" s="77"/>
      <c r="AQ55" s="645"/>
      <c r="AR55" s="77"/>
      <c r="AT55" s="650"/>
      <c r="AU55" s="634"/>
      <c r="AV55" s="77"/>
      <c r="AW55" s="77"/>
      <c r="AX55" s="77"/>
      <c r="AY55" s="77"/>
      <c r="AZ55" s="645"/>
      <c r="BA55" s="77"/>
      <c r="BC55" s="650"/>
      <c r="BD55" s="634"/>
      <c r="BE55" s="77"/>
      <c r="BF55" s="77"/>
      <c r="BG55" s="77"/>
      <c r="BH55" s="77"/>
      <c r="BI55" s="77"/>
      <c r="BK55" s="650"/>
    </row>
    <row r="56" spans="1:63" x14ac:dyDescent="0.25">
      <c r="A56" s="620"/>
      <c r="E56" s="633"/>
      <c r="F56" s="633"/>
      <c r="G56" s="633"/>
      <c r="H56" s="633"/>
      <c r="I56" s="633"/>
      <c r="J56" s="633"/>
      <c r="K56" s="660"/>
      <c r="L56" s="661"/>
      <c r="M56" s="649"/>
      <c r="N56" s="649"/>
      <c r="O56" s="650"/>
      <c r="P56" s="620"/>
      <c r="W56" s="650"/>
      <c r="X56" s="620"/>
      <c r="AC56" s="650"/>
      <c r="AD56" s="620"/>
      <c r="AI56" s="77" t="s">
        <v>1784</v>
      </c>
      <c r="AK56" s="650"/>
      <c r="AL56" s="634"/>
      <c r="AM56" s="198"/>
      <c r="AO56" s="77"/>
      <c r="AQ56" s="645"/>
      <c r="AR56" s="77"/>
      <c r="AT56" s="650"/>
      <c r="AU56" s="634"/>
      <c r="AV56" s="77"/>
      <c r="AW56" s="77"/>
      <c r="AX56" s="77"/>
      <c r="AY56" s="77"/>
      <c r="AZ56" s="645"/>
      <c r="BA56" s="77"/>
      <c r="BC56" s="650"/>
      <c r="BD56" s="634"/>
      <c r="BE56" s="77"/>
      <c r="BF56" s="77"/>
      <c r="BG56" s="77"/>
      <c r="BH56" s="77"/>
      <c r="BI56" s="77"/>
      <c r="BK56" s="650"/>
    </row>
    <row r="57" spans="1:63" x14ac:dyDescent="0.25">
      <c r="A57" s="620"/>
      <c r="E57" s="633"/>
      <c r="F57" s="633"/>
      <c r="G57" s="633"/>
      <c r="H57" s="633"/>
      <c r="I57" s="633"/>
      <c r="J57" s="633"/>
      <c r="K57" s="660"/>
      <c r="L57" s="661"/>
      <c r="M57" s="649"/>
      <c r="N57" s="649"/>
      <c r="O57" s="650"/>
      <c r="P57" s="620"/>
      <c r="W57" s="650"/>
      <c r="X57" s="620"/>
      <c r="AC57" s="650"/>
      <c r="AD57" s="620"/>
      <c r="AI57" s="77" t="s">
        <v>1785</v>
      </c>
      <c r="AK57" s="650"/>
      <c r="AL57" s="634"/>
      <c r="AM57" s="198"/>
      <c r="AO57" s="77"/>
      <c r="AQ57" s="645"/>
      <c r="AR57" s="77"/>
      <c r="AT57" s="650"/>
      <c r="AU57" s="634"/>
      <c r="AV57" s="77"/>
      <c r="AW57" s="77"/>
      <c r="AX57" s="77"/>
      <c r="AY57" s="77"/>
      <c r="AZ57" s="645"/>
      <c r="BA57" s="77"/>
      <c r="BC57" s="650"/>
      <c r="BD57" s="634"/>
      <c r="BE57" s="77"/>
      <c r="BF57" s="77"/>
      <c r="BG57" s="77"/>
      <c r="BH57" s="77"/>
      <c r="BI57" s="77"/>
      <c r="BK57" s="650"/>
    </row>
    <row r="58" spans="1:63" x14ac:dyDescent="0.25">
      <c r="A58" s="620"/>
      <c r="E58" s="633"/>
      <c r="F58" s="633"/>
      <c r="G58" s="633"/>
      <c r="H58" s="633"/>
      <c r="I58" s="633"/>
      <c r="J58" s="633"/>
      <c r="K58" s="660"/>
      <c r="L58" s="661"/>
      <c r="M58" s="649"/>
      <c r="N58" s="649"/>
      <c r="O58" s="650"/>
      <c r="P58" s="620"/>
      <c r="W58" s="650"/>
      <c r="X58" s="620"/>
      <c r="AC58" s="650"/>
      <c r="AD58" s="620"/>
      <c r="AI58" s="77" t="s">
        <v>1787</v>
      </c>
      <c r="AK58" s="650"/>
      <c r="AL58" s="634"/>
      <c r="AM58" s="198"/>
      <c r="AO58" s="77"/>
      <c r="AQ58" s="645"/>
      <c r="AR58" s="77"/>
      <c r="AT58" s="650"/>
      <c r="AU58" s="634"/>
      <c r="AV58" s="77"/>
      <c r="AW58" s="77"/>
      <c r="AX58" s="77"/>
      <c r="AY58" s="77"/>
      <c r="AZ58" s="645"/>
      <c r="BA58" s="77"/>
      <c r="BC58" s="650"/>
      <c r="BD58" s="634"/>
      <c r="BE58" s="77"/>
      <c r="BF58" s="77"/>
      <c r="BG58" s="77"/>
      <c r="BH58" s="77"/>
      <c r="BI58" s="77"/>
      <c r="BK58" s="650"/>
    </row>
    <row r="59" spans="1:63" ht="15.75" thickBot="1" x14ac:dyDescent="0.3">
      <c r="A59" s="620"/>
      <c r="E59" s="633"/>
      <c r="F59" s="633"/>
      <c r="G59" s="633"/>
      <c r="H59" s="633"/>
      <c r="I59" s="633"/>
      <c r="J59" s="633"/>
      <c r="K59" s="660"/>
      <c r="L59" s="661"/>
      <c r="M59" s="649"/>
      <c r="N59" s="649"/>
      <c r="O59" s="650"/>
      <c r="P59" s="620"/>
      <c r="U59" s="77" t="s">
        <v>1606</v>
      </c>
      <c r="V59" s="77"/>
      <c r="W59" s="650"/>
      <c r="X59" s="620"/>
      <c r="AC59" s="650"/>
      <c r="AD59" s="620"/>
      <c r="AI59" s="77" t="s">
        <v>1788</v>
      </c>
      <c r="AK59" s="650"/>
      <c r="AL59" s="634"/>
      <c r="AM59" s="198"/>
      <c r="AO59" s="77"/>
      <c r="AR59" s="77" t="s">
        <v>1789</v>
      </c>
      <c r="AT59" s="650"/>
      <c r="AU59" s="634"/>
      <c r="AV59" s="77"/>
      <c r="AW59" s="77"/>
      <c r="AX59" s="77"/>
      <c r="AY59" s="77"/>
      <c r="BA59" s="77" t="s">
        <v>1789</v>
      </c>
      <c r="BC59" s="650"/>
      <c r="BD59" s="634"/>
      <c r="BE59" s="77"/>
      <c r="BF59" s="77"/>
      <c r="BG59" s="77"/>
      <c r="BH59" s="77"/>
      <c r="BI59" s="77"/>
      <c r="BK59" s="650"/>
    </row>
    <row r="60" spans="1:63" ht="19.5" thickBot="1" x14ac:dyDescent="0.3">
      <c r="A60" s="593" t="s">
        <v>1608</v>
      </c>
      <c r="B60" s="594"/>
      <c r="C60" s="594"/>
      <c r="D60" s="595"/>
      <c r="E60" s="596" t="s">
        <v>1609</v>
      </c>
      <c r="F60" s="633"/>
      <c r="G60" s="633"/>
      <c r="H60" s="633"/>
      <c r="I60" s="633"/>
      <c r="J60" s="633"/>
      <c r="K60" s="662"/>
      <c r="L60" s="663"/>
      <c r="M60" s="664"/>
      <c r="N60" s="664"/>
      <c r="O60" s="665"/>
      <c r="P60" s="666"/>
      <c r="Q60" s="663"/>
      <c r="R60" s="663"/>
      <c r="S60" s="663"/>
      <c r="T60" s="663"/>
      <c r="U60" s="77"/>
      <c r="V60" s="77" t="s">
        <v>1610</v>
      </c>
      <c r="W60" s="665"/>
      <c r="X60" s="666"/>
      <c r="Y60" s="663"/>
      <c r="Z60" s="663"/>
      <c r="AA60" s="663"/>
      <c r="AB60" s="663"/>
      <c r="AC60" s="665"/>
      <c r="AD60" s="666"/>
      <c r="AE60" s="663"/>
      <c r="AF60" s="663"/>
      <c r="AG60" s="663"/>
      <c r="AH60" s="663"/>
      <c r="AI60" s="663"/>
      <c r="AJ60" s="663"/>
      <c r="AK60" s="665"/>
      <c r="AL60" s="667"/>
      <c r="AM60" s="668"/>
      <c r="AN60" s="663"/>
      <c r="AO60" s="669"/>
      <c r="AP60" s="663"/>
      <c r="AQ60" s="663"/>
      <c r="AR60" s="669"/>
      <c r="AS60" s="663"/>
      <c r="AT60" s="665"/>
      <c r="AU60" s="667"/>
      <c r="AV60" s="669"/>
      <c r="AW60" s="669"/>
      <c r="AX60" s="669"/>
      <c r="AY60" s="669"/>
      <c r="AZ60" s="663"/>
      <c r="BA60" s="669"/>
      <c r="BB60" s="663"/>
      <c r="BC60" s="665"/>
      <c r="BD60" s="667"/>
      <c r="BE60" s="669"/>
      <c r="BF60" s="669"/>
      <c r="BG60" s="669"/>
      <c r="BH60" s="669"/>
      <c r="BI60" s="669"/>
      <c r="BJ60" s="663"/>
      <c r="BK60" s="665"/>
    </row>
    <row r="61" spans="1:63" ht="27" thickBot="1" x14ac:dyDescent="0.3">
      <c r="A61" s="670" t="s">
        <v>1812</v>
      </c>
      <c r="B61" s="671"/>
      <c r="C61" s="671"/>
      <c r="D61" s="671"/>
      <c r="E61" s="672" t="s">
        <v>256</v>
      </c>
      <c r="F61" s="673" t="s">
        <v>1614</v>
      </c>
      <c r="G61" s="674"/>
      <c r="H61" s="674"/>
      <c r="I61" s="674"/>
      <c r="J61" s="947" t="s">
        <v>1615</v>
      </c>
      <c r="K61" s="954" t="s">
        <v>1616</v>
      </c>
      <c r="L61" s="949"/>
      <c r="M61" s="949"/>
      <c r="N61" s="949"/>
      <c r="O61" s="950"/>
      <c r="P61" s="603" t="s">
        <v>1617</v>
      </c>
      <c r="Q61" s="604"/>
      <c r="R61" s="604"/>
      <c r="S61" s="604"/>
      <c r="T61" s="604"/>
      <c r="U61" s="604"/>
      <c r="V61" s="604"/>
      <c r="W61" s="675"/>
      <c r="X61" s="605" t="s">
        <v>1618</v>
      </c>
      <c r="Y61" s="606"/>
      <c r="Z61" s="606"/>
      <c r="AA61" s="606"/>
      <c r="AB61" s="606"/>
      <c r="AC61" s="607"/>
      <c r="AD61" s="608" t="s">
        <v>1619</v>
      </c>
      <c r="AE61" s="609"/>
      <c r="AF61" s="609"/>
      <c r="AG61" s="609"/>
      <c r="AH61" s="609"/>
      <c r="AI61" s="609"/>
      <c r="AJ61" s="609"/>
      <c r="AK61" s="610"/>
      <c r="AL61" s="611" t="s">
        <v>1620</v>
      </c>
      <c r="AM61" s="612"/>
      <c r="AN61" s="612"/>
      <c r="AO61" s="612"/>
      <c r="AP61" s="612"/>
      <c r="AQ61" s="612"/>
      <c r="AR61" s="612"/>
      <c r="AS61" s="612"/>
      <c r="AT61" s="613"/>
      <c r="AU61" s="614" t="s">
        <v>1621</v>
      </c>
      <c r="AV61" s="615"/>
      <c r="AW61" s="615"/>
      <c r="AX61" s="615"/>
      <c r="AY61" s="615"/>
      <c r="AZ61" s="615"/>
      <c r="BA61" s="615"/>
      <c r="BB61" s="615"/>
      <c r="BC61" s="616"/>
      <c r="BD61" s="617" t="s">
        <v>1622</v>
      </c>
      <c r="BE61" s="618"/>
      <c r="BF61" s="618"/>
      <c r="BG61" s="618"/>
      <c r="BH61" s="618"/>
      <c r="BI61" s="618"/>
      <c r="BJ61" s="618"/>
      <c r="BK61" s="619"/>
    </row>
    <row r="62" spans="1:63" ht="16.5" thickBot="1" x14ac:dyDescent="0.3">
      <c r="A62" s="620"/>
      <c r="E62" s="621" t="s">
        <v>1623</v>
      </c>
      <c r="F62" s="621" t="s">
        <v>1624</v>
      </c>
      <c r="G62" s="621" t="s">
        <v>1625</v>
      </c>
      <c r="H62" s="621" t="s">
        <v>1626</v>
      </c>
      <c r="I62" s="621" t="s">
        <v>1627</v>
      </c>
      <c r="J62" s="937"/>
      <c r="K62" s="952"/>
      <c r="L62" s="952"/>
      <c r="M62" s="952"/>
      <c r="N62" s="952"/>
      <c r="O62" s="953"/>
      <c r="P62" s="623" t="s">
        <v>1628</v>
      </c>
      <c r="Q62" s="623" t="s">
        <v>1629</v>
      </c>
      <c r="R62" s="623" t="s">
        <v>1630</v>
      </c>
      <c r="S62" s="623" t="s">
        <v>1631</v>
      </c>
      <c r="T62" s="623" t="s">
        <v>1632</v>
      </c>
      <c r="U62" s="623" t="s">
        <v>1633</v>
      </c>
      <c r="V62" s="623" t="s">
        <v>1634</v>
      </c>
      <c r="W62" s="623" t="s">
        <v>1635</v>
      </c>
      <c r="X62" s="623" t="s">
        <v>1636</v>
      </c>
      <c r="Y62" s="623" t="s">
        <v>1637</v>
      </c>
      <c r="Z62" s="623" t="s">
        <v>1638</v>
      </c>
      <c r="AA62" s="623" t="s">
        <v>1639</v>
      </c>
      <c r="AB62" s="623" t="s">
        <v>1640</v>
      </c>
      <c r="AC62" s="623" t="s">
        <v>1641</v>
      </c>
      <c r="AD62" s="625" t="s">
        <v>1642</v>
      </c>
      <c r="AE62" s="626"/>
      <c r="AF62" s="626"/>
      <c r="AG62" s="626"/>
      <c r="AH62" s="626"/>
      <c r="AI62" s="626"/>
      <c r="AJ62" s="626"/>
      <c r="AK62" s="627"/>
      <c r="AL62" s="628" t="s">
        <v>1643</v>
      </c>
      <c r="AM62" s="629"/>
      <c r="AN62" s="630"/>
      <c r="AO62" s="628" t="s">
        <v>1644</v>
      </c>
      <c r="AP62" s="630"/>
      <c r="AQ62" s="623" t="s">
        <v>1095</v>
      </c>
      <c r="AR62" s="629" t="s">
        <v>1645</v>
      </c>
      <c r="AS62" s="629"/>
      <c r="AT62" s="630"/>
      <c r="AU62" s="628" t="s">
        <v>1646</v>
      </c>
      <c r="AV62" s="629"/>
      <c r="AW62" s="629"/>
      <c r="AX62" s="629"/>
      <c r="AY62" s="630"/>
      <c r="AZ62" s="623" t="s">
        <v>1095</v>
      </c>
      <c r="BA62" s="629" t="s">
        <v>1647</v>
      </c>
      <c r="BB62" s="629"/>
      <c r="BC62" s="630"/>
      <c r="BD62" s="624"/>
      <c r="BE62" s="631"/>
      <c r="BF62" s="631"/>
      <c r="BG62" s="631"/>
      <c r="BH62" s="631"/>
      <c r="BI62" s="631"/>
      <c r="BJ62" s="631"/>
      <c r="BK62" s="632"/>
    </row>
    <row r="63" spans="1:63" ht="14.25" customHeight="1" x14ac:dyDescent="0.25">
      <c r="A63" s="620"/>
      <c r="E63" s="676" t="s">
        <v>1813</v>
      </c>
      <c r="F63" s="676" t="s">
        <v>1814</v>
      </c>
      <c r="G63" s="676" t="s">
        <v>1815</v>
      </c>
      <c r="H63" s="676" t="s">
        <v>1816</v>
      </c>
      <c r="I63" s="676" t="s">
        <v>1817</v>
      </c>
      <c r="J63" s="676" t="s">
        <v>82</v>
      </c>
      <c r="K63" s="635" t="s">
        <v>1652</v>
      </c>
      <c r="L63" s="636"/>
      <c r="M63" s="636"/>
      <c r="N63" s="636"/>
      <c r="O63" s="637"/>
      <c r="P63" s="640"/>
      <c r="Q63" s="636"/>
      <c r="R63" s="636"/>
      <c r="S63" s="636"/>
      <c r="T63" s="636"/>
      <c r="U63" s="636"/>
      <c r="V63" s="636"/>
      <c r="W63" s="637"/>
      <c r="X63" s="640"/>
      <c r="Y63" s="636"/>
      <c r="Z63" s="636"/>
      <c r="AA63" s="636"/>
      <c r="AB63" s="636"/>
      <c r="AC63" s="935"/>
      <c r="AD63" s="938"/>
      <c r="AE63" s="939"/>
      <c r="AF63" s="939"/>
      <c r="AG63" s="939"/>
      <c r="AH63" s="939"/>
      <c r="AI63" s="939"/>
      <c r="AJ63" s="939"/>
      <c r="AK63" s="940"/>
      <c r="AL63" s="641"/>
      <c r="AM63" s="642"/>
      <c r="AN63" s="643"/>
      <c r="AO63" s="644"/>
      <c r="AP63" s="643"/>
      <c r="AQ63" s="645"/>
      <c r="AR63" s="77" t="s">
        <v>1665</v>
      </c>
      <c r="AS63" s="643"/>
      <c r="AT63" s="646"/>
      <c r="AU63" s="641" t="s">
        <v>1666</v>
      </c>
      <c r="AV63" s="644"/>
      <c r="AW63" s="644"/>
      <c r="AX63" s="644"/>
      <c r="AY63" s="644"/>
      <c r="AZ63" s="645"/>
      <c r="BA63" s="647" t="s">
        <v>1667</v>
      </c>
      <c r="BB63" s="643"/>
      <c r="BC63" s="646"/>
      <c r="BD63" s="641" t="s">
        <v>1668</v>
      </c>
      <c r="BE63" s="644"/>
      <c r="BF63" s="644"/>
      <c r="BG63" s="644"/>
      <c r="BH63" s="644"/>
      <c r="BI63" s="647"/>
      <c r="BJ63" s="643"/>
      <c r="BK63" s="646"/>
    </row>
    <row r="64" spans="1:63" x14ac:dyDescent="0.25">
      <c r="A64" s="620"/>
      <c r="E64" s="633" t="s">
        <v>1818</v>
      </c>
      <c r="F64" s="633"/>
      <c r="G64" s="633"/>
      <c r="H64" s="633" t="s">
        <v>1228</v>
      </c>
      <c r="I64" s="633" t="s">
        <v>1819</v>
      </c>
      <c r="J64" s="633"/>
      <c r="K64" s="649" t="s">
        <v>1820</v>
      </c>
      <c r="M64" s="649"/>
      <c r="N64" s="649"/>
      <c r="O64" s="650"/>
      <c r="P64" s="620"/>
      <c r="W64" s="650"/>
      <c r="X64" s="620"/>
      <c r="AC64" s="936"/>
      <c r="AD64" s="941"/>
      <c r="AE64" s="942"/>
      <c r="AF64" s="942"/>
      <c r="AG64" s="942"/>
      <c r="AH64" s="942"/>
      <c r="AI64" s="942"/>
      <c r="AJ64" s="942"/>
      <c r="AK64" s="943"/>
      <c r="AL64" s="634"/>
      <c r="AM64" s="651"/>
      <c r="AN64" s="652"/>
      <c r="AO64" s="77"/>
      <c r="AP64" s="652"/>
      <c r="AQ64" s="645"/>
      <c r="AR64" s="77" t="s">
        <v>1681</v>
      </c>
      <c r="AS64" s="652"/>
      <c r="AT64" s="653"/>
      <c r="AU64" s="634"/>
      <c r="AV64" s="77" t="s">
        <v>1682</v>
      </c>
      <c r="AW64" s="77"/>
      <c r="AX64" s="77"/>
      <c r="AY64" s="77"/>
      <c r="AZ64" s="645"/>
      <c r="BA64" s="654" t="s">
        <v>1683</v>
      </c>
      <c r="BB64" s="652"/>
      <c r="BC64" s="653"/>
      <c r="BD64" s="634"/>
      <c r="BE64" s="77" t="s">
        <v>1684</v>
      </c>
      <c r="BF64" s="77"/>
      <c r="BG64" s="77"/>
      <c r="BH64" s="77"/>
      <c r="BI64" s="654"/>
      <c r="BK64" s="653"/>
    </row>
    <row r="65" spans="1:63" x14ac:dyDescent="0.25">
      <c r="A65" s="620"/>
      <c r="E65" s="633" t="s">
        <v>1821</v>
      </c>
      <c r="F65" s="633"/>
      <c r="G65" s="633"/>
      <c r="H65" s="678"/>
      <c r="I65" s="633" t="s">
        <v>1822</v>
      </c>
      <c r="J65" s="633"/>
      <c r="K65" s="649" t="s">
        <v>1823</v>
      </c>
      <c r="M65" s="649"/>
      <c r="N65" s="649"/>
      <c r="O65" s="650"/>
      <c r="P65" s="620"/>
      <c r="W65" s="650"/>
      <c r="X65" s="620"/>
      <c r="Z65" s="77"/>
      <c r="AC65" s="936"/>
      <c r="AD65" s="941"/>
      <c r="AE65" s="942"/>
      <c r="AF65" s="942"/>
      <c r="AG65" s="942"/>
      <c r="AH65" s="942"/>
      <c r="AI65" s="942"/>
      <c r="AJ65" s="942"/>
      <c r="AK65" s="943"/>
      <c r="AL65" s="634"/>
      <c r="AM65" s="651"/>
      <c r="AN65" s="652"/>
      <c r="AO65" s="77"/>
      <c r="AP65" s="652"/>
      <c r="AQ65" s="645"/>
      <c r="AR65" s="77" t="s">
        <v>1695</v>
      </c>
      <c r="AS65" s="652"/>
      <c r="AT65" s="653"/>
      <c r="AU65" s="634"/>
      <c r="AV65" s="77" t="s">
        <v>1696</v>
      </c>
      <c r="AW65" s="77"/>
      <c r="AX65" s="77"/>
      <c r="AY65" s="77"/>
      <c r="AZ65" s="645"/>
      <c r="BA65" s="654" t="s">
        <v>1660</v>
      </c>
      <c r="BB65" s="652"/>
      <c r="BC65" s="653"/>
      <c r="BD65" s="634"/>
      <c r="BE65" s="77"/>
      <c r="BF65" s="77"/>
      <c r="BG65" s="77"/>
      <c r="BH65" s="77"/>
      <c r="BI65" s="2" t="s">
        <v>1697</v>
      </c>
      <c r="BK65" s="653"/>
    </row>
    <row r="66" spans="1:63" x14ac:dyDescent="0.25">
      <c r="A66" s="620"/>
      <c r="E66" s="633"/>
      <c r="F66" s="633"/>
      <c r="G66" s="633"/>
      <c r="H66" s="633"/>
      <c r="I66" s="633" t="s">
        <v>1824</v>
      </c>
      <c r="J66" s="633"/>
      <c r="K66" s="649"/>
      <c r="M66" s="649"/>
      <c r="N66" s="649"/>
      <c r="O66" s="650"/>
      <c r="P66" s="620"/>
      <c r="W66" s="650"/>
      <c r="X66" s="656"/>
      <c r="Y66" s="2"/>
      <c r="Z66" s="77"/>
      <c r="AB66" s="2"/>
      <c r="AC66" s="936"/>
      <c r="AD66" s="941"/>
      <c r="AE66" s="942"/>
      <c r="AF66" s="942"/>
      <c r="AG66" s="942"/>
      <c r="AH66" s="942"/>
      <c r="AI66" s="942"/>
      <c r="AJ66" s="942"/>
      <c r="AK66" s="943"/>
      <c r="AL66" s="634"/>
      <c r="AM66" s="651"/>
      <c r="AN66" s="652"/>
      <c r="AO66" s="77"/>
      <c r="AP66" s="652"/>
      <c r="AQ66" s="645"/>
      <c r="AR66" s="77" t="s">
        <v>1707</v>
      </c>
      <c r="AS66" s="652"/>
      <c r="AT66" s="653"/>
      <c r="AU66" s="634"/>
      <c r="AV66" s="77" t="s">
        <v>1708</v>
      </c>
      <c r="AW66" s="77"/>
      <c r="AX66" s="77"/>
      <c r="AY66" s="77"/>
      <c r="AZ66" s="645"/>
      <c r="BA66" s="654" t="s">
        <v>1709</v>
      </c>
      <c r="BB66" s="652"/>
      <c r="BC66" s="653"/>
      <c r="BD66" s="634"/>
      <c r="BE66" s="77"/>
      <c r="BF66" s="77"/>
      <c r="BG66" s="77"/>
      <c r="BH66" s="77"/>
      <c r="BI66" s="652" t="s">
        <v>1710</v>
      </c>
      <c r="BK66" s="653"/>
    </row>
    <row r="67" spans="1:63" x14ac:dyDescent="0.25">
      <c r="A67" s="620"/>
      <c r="D67" s="29"/>
      <c r="E67" s="633"/>
      <c r="F67" s="633"/>
      <c r="G67" s="633"/>
      <c r="H67" s="633"/>
      <c r="I67" s="633" t="s">
        <v>1825</v>
      </c>
      <c r="J67" s="633"/>
      <c r="K67" s="649"/>
      <c r="M67" s="649"/>
      <c r="N67" s="649"/>
      <c r="O67" s="650"/>
      <c r="P67" s="620"/>
      <c r="W67" s="650"/>
      <c r="X67" s="620"/>
      <c r="Z67" s="77"/>
      <c r="AC67" s="936"/>
      <c r="AD67" s="941"/>
      <c r="AE67" s="942"/>
      <c r="AF67" s="942"/>
      <c r="AG67" s="942"/>
      <c r="AH67" s="942"/>
      <c r="AI67" s="942"/>
      <c r="AJ67" s="942"/>
      <c r="AK67" s="943"/>
      <c r="AL67" s="634"/>
      <c r="AM67" s="651"/>
      <c r="AN67" s="652"/>
      <c r="AO67" s="77"/>
      <c r="AP67" s="652"/>
      <c r="AQ67" s="645"/>
      <c r="AR67" s="77" t="s">
        <v>1718</v>
      </c>
      <c r="AS67" s="652"/>
      <c r="AT67" s="653"/>
      <c r="AU67" s="634"/>
      <c r="AV67" s="77" t="s">
        <v>1719</v>
      </c>
      <c r="AW67" s="77"/>
      <c r="AX67" s="77"/>
      <c r="AY67" s="77"/>
      <c r="AZ67" s="645"/>
      <c r="BA67" s="654" t="s">
        <v>1720</v>
      </c>
      <c r="BB67" s="652"/>
      <c r="BC67" s="653"/>
      <c r="BD67" s="634"/>
      <c r="BE67" s="77"/>
      <c r="BF67" s="77"/>
      <c r="BG67" s="77"/>
      <c r="BH67" s="77"/>
      <c r="BI67" s="652" t="s">
        <v>1721</v>
      </c>
      <c r="BK67" s="653"/>
    </row>
    <row r="68" spans="1:63" x14ac:dyDescent="0.25">
      <c r="A68" s="620"/>
      <c r="D68" s="29"/>
      <c r="E68" s="633"/>
      <c r="F68" s="633"/>
      <c r="G68" s="633"/>
      <c r="H68" s="633"/>
      <c r="I68" s="633"/>
      <c r="J68" s="633"/>
      <c r="K68" s="649"/>
      <c r="M68" s="649"/>
      <c r="N68" s="649"/>
      <c r="O68" s="650"/>
      <c r="P68" s="620"/>
      <c r="W68" s="650"/>
      <c r="X68" s="620"/>
      <c r="Z68" s="77"/>
      <c r="AC68" s="936"/>
      <c r="AD68" s="941"/>
      <c r="AE68" s="942"/>
      <c r="AF68" s="942"/>
      <c r="AG68" s="942"/>
      <c r="AH68" s="942"/>
      <c r="AI68" s="942"/>
      <c r="AJ68" s="942"/>
      <c r="AK68" s="943"/>
      <c r="AL68" s="634"/>
      <c r="AM68" s="651"/>
      <c r="AN68" s="652"/>
      <c r="AO68" s="77"/>
      <c r="AP68" s="652"/>
      <c r="AQ68" s="645"/>
      <c r="AR68" s="77" t="s">
        <v>1728</v>
      </c>
      <c r="AS68" s="652"/>
      <c r="AT68" s="653"/>
      <c r="AU68" s="634"/>
      <c r="AV68" s="77" t="s">
        <v>1729</v>
      </c>
      <c r="AW68" s="77"/>
      <c r="AX68" s="77"/>
      <c r="AY68" s="77"/>
      <c r="AZ68" s="645"/>
      <c r="BA68" s="654" t="s">
        <v>1730</v>
      </c>
      <c r="BB68" s="652"/>
      <c r="BC68" s="653"/>
      <c r="BD68" s="634"/>
      <c r="BE68" s="77"/>
      <c r="BF68" s="77"/>
      <c r="BG68" s="77"/>
      <c r="BH68" s="77"/>
      <c r="BI68" s="652" t="s">
        <v>1731</v>
      </c>
      <c r="BK68" s="653"/>
    </row>
    <row r="69" spans="1:63" x14ac:dyDescent="0.25">
      <c r="A69" s="620"/>
      <c r="E69" s="633"/>
      <c r="F69" s="633"/>
      <c r="G69" s="633"/>
      <c r="H69" s="633"/>
      <c r="I69" s="633"/>
      <c r="J69" s="633"/>
      <c r="K69" s="649"/>
      <c r="M69" s="649"/>
      <c r="N69" s="649"/>
      <c r="O69" s="650"/>
      <c r="P69" s="620"/>
      <c r="W69" s="650"/>
      <c r="X69" s="620"/>
      <c r="Z69" s="677"/>
      <c r="AC69" s="936"/>
      <c r="AD69" s="941"/>
      <c r="AE69" s="942"/>
      <c r="AF69" s="942"/>
      <c r="AG69" s="942"/>
      <c r="AH69" s="942"/>
      <c r="AI69" s="942"/>
      <c r="AJ69" s="942"/>
      <c r="AK69" s="943"/>
      <c r="AL69" s="634"/>
      <c r="AM69" s="651"/>
      <c r="AN69" s="652"/>
      <c r="AO69" s="77"/>
      <c r="AP69" s="652"/>
      <c r="AQ69" s="645"/>
      <c r="AR69" s="77" t="s">
        <v>1734</v>
      </c>
      <c r="AS69" s="652"/>
      <c r="AT69" s="653"/>
      <c r="AU69" s="634"/>
      <c r="AV69" s="77" t="s">
        <v>1735</v>
      </c>
      <c r="AW69" s="77"/>
      <c r="AX69" s="77"/>
      <c r="AY69" s="77"/>
      <c r="AZ69" s="645"/>
      <c r="BA69" s="654" t="s">
        <v>1736</v>
      </c>
      <c r="BB69" s="652"/>
      <c r="BC69" s="653"/>
      <c r="BD69" s="634"/>
      <c r="BE69" s="77" t="s">
        <v>1737</v>
      </c>
      <c r="BF69" s="77"/>
      <c r="BG69" s="77"/>
      <c r="BH69" s="77"/>
      <c r="BI69" s="652" t="s">
        <v>1738</v>
      </c>
      <c r="BK69" s="653"/>
    </row>
    <row r="70" spans="1:63" x14ac:dyDescent="0.25">
      <c r="A70" s="620"/>
      <c r="E70" s="633"/>
      <c r="F70" s="633"/>
      <c r="G70" s="633"/>
      <c r="H70" s="633"/>
      <c r="I70" s="633"/>
      <c r="J70" s="633"/>
      <c r="K70" s="679" t="s">
        <v>1741</v>
      </c>
      <c r="O70" s="650"/>
      <c r="P70" s="620"/>
      <c r="W70" s="650"/>
      <c r="X70" s="620"/>
      <c r="Z70" s="677"/>
      <c r="AC70" s="936"/>
      <c r="AD70" s="941"/>
      <c r="AE70" s="942"/>
      <c r="AF70" s="942"/>
      <c r="AG70" s="942"/>
      <c r="AH70" s="942"/>
      <c r="AI70" s="942"/>
      <c r="AJ70" s="942"/>
      <c r="AK70" s="943"/>
      <c r="AL70" s="634"/>
      <c r="AM70" s="651"/>
      <c r="AN70" s="652"/>
      <c r="AO70" s="77"/>
      <c r="AP70" s="652"/>
      <c r="AQ70" s="645"/>
      <c r="AR70" s="77" t="s">
        <v>1742</v>
      </c>
      <c r="AS70" s="652"/>
      <c r="AT70" s="653"/>
      <c r="AU70" s="634"/>
      <c r="AV70" s="77" t="s">
        <v>1743</v>
      </c>
      <c r="AW70" s="77"/>
      <c r="AX70" s="77"/>
      <c r="AY70" s="77"/>
      <c r="AZ70" s="645"/>
      <c r="BA70" s="654" t="s">
        <v>1744</v>
      </c>
      <c r="BB70" s="652"/>
      <c r="BC70" s="653"/>
      <c r="BD70" s="634"/>
      <c r="BE70" s="77"/>
      <c r="BF70" s="77"/>
      <c r="BG70" s="77"/>
      <c r="BH70" s="77"/>
      <c r="BI70" s="652" t="s">
        <v>1745</v>
      </c>
      <c r="BK70" s="653"/>
    </row>
    <row r="71" spans="1:63" x14ac:dyDescent="0.25">
      <c r="A71" s="620"/>
      <c r="E71" s="633"/>
      <c r="F71" s="633"/>
      <c r="G71" s="633"/>
      <c r="H71" s="633"/>
      <c r="I71" s="633"/>
      <c r="J71" s="633"/>
      <c r="K71" s="660"/>
      <c r="L71" s="661"/>
      <c r="M71" s="649"/>
      <c r="N71" s="649"/>
      <c r="O71" s="650"/>
      <c r="P71" s="620"/>
      <c r="W71" s="650"/>
      <c r="X71" s="620"/>
      <c r="AC71" s="936"/>
      <c r="AD71" s="941"/>
      <c r="AE71" s="942"/>
      <c r="AF71" s="942"/>
      <c r="AG71" s="942"/>
      <c r="AH71" s="942"/>
      <c r="AI71" s="942"/>
      <c r="AJ71" s="942"/>
      <c r="AK71" s="943"/>
      <c r="AL71" s="634"/>
      <c r="AM71" s="651"/>
      <c r="AN71" s="652"/>
      <c r="AO71" s="77"/>
      <c r="AP71" s="652"/>
      <c r="AQ71" s="645"/>
      <c r="AR71" s="77" t="s">
        <v>1749</v>
      </c>
      <c r="AS71" s="652"/>
      <c r="AT71" s="653"/>
      <c r="AU71" s="634"/>
      <c r="AV71" s="77" t="s">
        <v>1750</v>
      </c>
      <c r="AW71" s="77"/>
      <c r="AX71" s="77"/>
      <c r="AY71" s="77"/>
      <c r="AZ71" s="645"/>
      <c r="BA71" s="654" t="s">
        <v>1751</v>
      </c>
      <c r="BB71" s="652"/>
      <c r="BC71" s="653"/>
      <c r="BD71" s="634"/>
      <c r="BE71" s="77"/>
      <c r="BF71" s="77"/>
      <c r="BG71" s="77"/>
      <c r="BH71" s="77"/>
      <c r="BI71" s="652" t="s">
        <v>1752</v>
      </c>
      <c r="BJ71" s="652"/>
      <c r="BK71" s="653"/>
    </row>
    <row r="72" spans="1:63" ht="15.75" thickBot="1" x14ac:dyDescent="0.3">
      <c r="A72" s="620"/>
      <c r="E72" s="633"/>
      <c r="F72" s="633"/>
      <c r="G72" s="633"/>
      <c r="H72" s="633"/>
      <c r="I72" s="633"/>
      <c r="J72" s="633"/>
      <c r="K72" s="660"/>
      <c r="L72" s="661"/>
      <c r="M72" s="649"/>
      <c r="N72" s="649"/>
      <c r="O72" s="650"/>
      <c r="P72" s="620"/>
      <c r="W72" s="650"/>
      <c r="X72" s="620"/>
      <c r="AC72" s="936"/>
      <c r="AD72" s="944"/>
      <c r="AE72" s="945"/>
      <c r="AF72" s="945"/>
      <c r="AG72" s="945"/>
      <c r="AH72" s="945"/>
      <c r="AI72" s="945"/>
      <c r="AJ72" s="945"/>
      <c r="AK72" s="946"/>
      <c r="AL72" s="634"/>
      <c r="AM72" s="651"/>
      <c r="AN72" s="652"/>
      <c r="AO72" s="77"/>
      <c r="AP72" s="652"/>
      <c r="AQ72" s="645"/>
      <c r="AR72" s="77" t="s">
        <v>1756</v>
      </c>
      <c r="AS72" s="652"/>
      <c r="AT72" s="653"/>
      <c r="AU72" s="634"/>
      <c r="AV72" s="77"/>
      <c r="AW72" s="77"/>
      <c r="AX72" s="77"/>
      <c r="AY72" s="77"/>
      <c r="AZ72" s="645"/>
      <c r="BA72" s="654" t="s">
        <v>1757</v>
      </c>
      <c r="BB72" s="652"/>
      <c r="BC72" s="653"/>
      <c r="BD72" s="634"/>
      <c r="BE72" s="77"/>
      <c r="BF72" s="77"/>
      <c r="BG72" s="77"/>
      <c r="BH72" s="77"/>
      <c r="BI72" s="654"/>
      <c r="BJ72" s="652"/>
      <c r="BK72" s="653"/>
    </row>
    <row r="73" spans="1:63" ht="15.75" thickBot="1" x14ac:dyDescent="0.3">
      <c r="A73" s="620"/>
      <c r="E73" s="633"/>
      <c r="F73" s="633"/>
      <c r="G73" s="633"/>
      <c r="H73" s="633"/>
      <c r="I73" s="633"/>
      <c r="J73" s="633"/>
      <c r="K73" s="660"/>
      <c r="L73" s="661"/>
      <c r="M73" s="649"/>
      <c r="N73" s="649"/>
      <c r="O73" s="650"/>
      <c r="P73" s="620"/>
      <c r="W73" s="650"/>
      <c r="X73" s="620"/>
      <c r="AC73" s="937"/>
      <c r="AD73" s="620"/>
      <c r="AI73" s="1" t="s">
        <v>1759</v>
      </c>
      <c r="AK73" s="650"/>
      <c r="AL73" s="634"/>
      <c r="AM73" s="651"/>
      <c r="AN73" s="652"/>
      <c r="AO73" s="77"/>
      <c r="AP73" s="652"/>
      <c r="AQ73" s="645"/>
      <c r="AR73" s="77" t="s">
        <v>1760</v>
      </c>
      <c r="AS73" s="652"/>
      <c r="AT73" s="653"/>
      <c r="AU73" s="634"/>
      <c r="AV73" s="77"/>
      <c r="AW73" s="77"/>
      <c r="AX73" s="77"/>
      <c r="AY73" s="77"/>
      <c r="AZ73" s="645"/>
      <c r="BA73" s="654" t="s">
        <v>1761</v>
      </c>
      <c r="BB73" s="652"/>
      <c r="BC73" s="653"/>
      <c r="BD73" s="634" t="s">
        <v>1762</v>
      </c>
      <c r="BE73" s="77"/>
      <c r="BF73" s="77"/>
      <c r="BG73" s="77"/>
      <c r="BH73" s="77"/>
      <c r="BI73" s="654"/>
      <c r="BJ73" s="652"/>
      <c r="BK73" s="653"/>
    </row>
    <row r="74" spans="1:63" x14ac:dyDescent="0.25">
      <c r="A74" s="620"/>
      <c r="E74" s="633"/>
      <c r="F74" s="633"/>
      <c r="G74" s="633"/>
      <c r="H74" s="633"/>
      <c r="I74" s="633"/>
      <c r="J74" s="633"/>
      <c r="K74" s="660"/>
      <c r="L74" s="661"/>
      <c r="M74" s="649"/>
      <c r="N74" s="649"/>
      <c r="O74" s="650"/>
      <c r="P74" s="620"/>
      <c r="W74" s="650"/>
      <c r="X74" s="620"/>
      <c r="AC74" s="650"/>
      <c r="AD74" s="620"/>
      <c r="AI74" s="77" t="s">
        <v>1764</v>
      </c>
      <c r="AK74" s="650"/>
      <c r="AL74" s="634"/>
      <c r="AM74" s="651"/>
      <c r="AN74" s="652"/>
      <c r="AO74" s="77"/>
      <c r="AP74" s="652"/>
      <c r="AQ74" s="645"/>
      <c r="AR74" s="77" t="s">
        <v>1765</v>
      </c>
      <c r="AS74" s="652"/>
      <c r="AT74" s="653"/>
      <c r="AU74" s="634"/>
      <c r="AV74" s="77"/>
      <c r="AW74" s="77"/>
      <c r="AX74" s="77"/>
      <c r="AY74" s="77"/>
      <c r="AZ74" s="645"/>
      <c r="BA74" s="654" t="s">
        <v>1766</v>
      </c>
      <c r="BB74" s="652"/>
      <c r="BC74" s="653"/>
      <c r="BD74" s="634"/>
      <c r="BE74" s="77" t="s">
        <v>1767</v>
      </c>
      <c r="BF74" s="77"/>
      <c r="BG74" s="77"/>
      <c r="BH74" s="77"/>
      <c r="BI74" s="654"/>
      <c r="BJ74" s="652"/>
      <c r="BK74" s="653"/>
    </row>
    <row r="75" spans="1:63" x14ac:dyDescent="0.25">
      <c r="A75" s="620"/>
      <c r="E75" s="633"/>
      <c r="F75" s="633"/>
      <c r="G75" s="633"/>
      <c r="H75" s="633"/>
      <c r="I75" s="633"/>
      <c r="J75" s="633"/>
      <c r="K75" s="660"/>
      <c r="L75" s="661"/>
      <c r="M75" s="649"/>
      <c r="N75" s="649"/>
      <c r="O75" s="650"/>
      <c r="P75" s="620"/>
      <c r="W75" s="650"/>
      <c r="X75" s="620"/>
      <c r="AC75" s="650"/>
      <c r="AD75" s="620"/>
      <c r="AI75" s="77" t="s">
        <v>1769</v>
      </c>
      <c r="AK75" s="650"/>
      <c r="AL75" s="634"/>
      <c r="AM75" s="651"/>
      <c r="AN75" s="652"/>
      <c r="AO75" s="77"/>
      <c r="AP75" s="652"/>
      <c r="AQ75" s="645"/>
      <c r="AR75" s="77" t="s">
        <v>1771</v>
      </c>
      <c r="AS75" s="652"/>
      <c r="AT75" s="653"/>
      <c r="AU75" s="634"/>
      <c r="AV75" s="77"/>
      <c r="AW75" s="77"/>
      <c r="AX75" s="77"/>
      <c r="AY75" s="77"/>
      <c r="AZ75" s="645"/>
      <c r="BA75" s="654" t="s">
        <v>1772</v>
      </c>
      <c r="BB75" s="652"/>
      <c r="BC75" s="653"/>
      <c r="BD75" s="634"/>
      <c r="BE75" s="77" t="s">
        <v>1773</v>
      </c>
      <c r="BF75" s="77"/>
      <c r="BG75" s="77"/>
      <c r="BH75" s="77"/>
      <c r="BI75" s="654"/>
      <c r="BJ75" s="652"/>
      <c r="BK75" s="653"/>
    </row>
    <row r="76" spans="1:63" x14ac:dyDescent="0.25">
      <c r="A76" s="620"/>
      <c r="E76" s="633"/>
      <c r="F76" s="633"/>
      <c r="G76" s="633"/>
      <c r="H76" s="633"/>
      <c r="I76" s="633"/>
      <c r="J76" s="633"/>
      <c r="K76" s="649"/>
      <c r="M76" s="649"/>
      <c r="N76" s="649"/>
      <c r="O76" s="650"/>
      <c r="P76" s="620"/>
      <c r="W76" s="650"/>
      <c r="X76" s="620"/>
      <c r="AC76" s="650"/>
      <c r="AD76" s="620"/>
      <c r="AI76" s="77" t="s">
        <v>1775</v>
      </c>
      <c r="AK76" s="650"/>
      <c r="AL76" s="634"/>
      <c r="AM76" s="198"/>
      <c r="AO76" s="77"/>
      <c r="AQ76" s="645"/>
      <c r="AR76" s="77" t="s">
        <v>1777</v>
      </c>
      <c r="AT76" s="650"/>
      <c r="AU76" s="634"/>
      <c r="AV76" s="77"/>
      <c r="AW76" s="77"/>
      <c r="AX76" s="77"/>
      <c r="AY76" s="77"/>
      <c r="AZ76" s="645"/>
      <c r="BA76" s="77"/>
      <c r="BC76" s="650"/>
      <c r="BD76" s="634"/>
      <c r="BE76" s="77" t="s">
        <v>1778</v>
      </c>
      <c r="BF76" s="77"/>
      <c r="BG76" s="77"/>
      <c r="BH76" s="77"/>
      <c r="BI76" s="77"/>
      <c r="BK76" s="650"/>
    </row>
    <row r="77" spans="1:63" x14ac:dyDescent="0.25">
      <c r="A77" s="620"/>
      <c r="E77" s="657"/>
      <c r="F77" s="657"/>
      <c r="G77" s="678"/>
      <c r="H77" s="678"/>
      <c r="I77" s="678"/>
      <c r="J77" s="678"/>
      <c r="K77" s="659" t="s">
        <v>1779</v>
      </c>
      <c r="O77" s="650"/>
      <c r="P77" s="620"/>
      <c r="W77" s="650"/>
      <c r="X77" s="620"/>
      <c r="AC77" s="650"/>
      <c r="AD77" s="620"/>
      <c r="AI77" s="77" t="s">
        <v>1780</v>
      </c>
      <c r="AK77" s="650"/>
      <c r="AL77" s="634"/>
      <c r="AM77" s="198"/>
      <c r="AO77" s="77"/>
      <c r="AQ77" s="645"/>
      <c r="AR77" s="77" t="s">
        <v>1781</v>
      </c>
      <c r="AT77" s="650"/>
      <c r="AU77" s="634"/>
      <c r="AV77" s="77"/>
      <c r="AW77" s="77"/>
      <c r="AX77" s="77"/>
      <c r="AY77" s="77"/>
      <c r="AZ77" s="645"/>
      <c r="BA77" s="77"/>
      <c r="BC77" s="650"/>
      <c r="BD77" s="634"/>
      <c r="BE77" s="77" t="s">
        <v>1782</v>
      </c>
      <c r="BF77" s="77"/>
      <c r="BG77" s="77"/>
      <c r="BH77" s="77"/>
      <c r="BI77" s="77"/>
      <c r="BK77" s="650"/>
    </row>
    <row r="78" spans="1:63" x14ac:dyDescent="0.25">
      <c r="A78" s="620"/>
      <c r="E78" s="657"/>
      <c r="F78" s="657"/>
      <c r="G78" s="678"/>
      <c r="H78" s="678"/>
      <c r="I78" s="678"/>
      <c r="J78" s="678"/>
      <c r="K78" s="660"/>
      <c r="L78" s="661"/>
      <c r="M78" s="649"/>
      <c r="N78" s="649"/>
      <c r="O78" s="650"/>
      <c r="P78" s="620"/>
      <c r="W78" s="650"/>
      <c r="X78" s="620"/>
      <c r="AC78" s="650"/>
      <c r="AD78" s="620"/>
      <c r="AI78" s="77" t="s">
        <v>1783</v>
      </c>
      <c r="AK78" s="650"/>
      <c r="AL78" s="634"/>
      <c r="AM78" s="198"/>
      <c r="AO78" s="77"/>
      <c r="AQ78" s="645"/>
      <c r="AR78" s="77"/>
      <c r="AT78" s="650"/>
      <c r="AU78" s="634"/>
      <c r="AV78" s="77"/>
      <c r="AW78" s="77"/>
      <c r="AX78" s="77"/>
      <c r="AY78" s="77"/>
      <c r="AZ78" s="645"/>
      <c r="BA78" s="77"/>
      <c r="BC78" s="650"/>
      <c r="BD78" s="634"/>
      <c r="BE78" s="77"/>
      <c r="BF78" s="77"/>
      <c r="BG78" s="77"/>
      <c r="BH78" s="77"/>
      <c r="BI78" s="77"/>
      <c r="BK78" s="650"/>
    </row>
    <row r="79" spans="1:63" x14ac:dyDescent="0.25">
      <c r="A79" s="620"/>
      <c r="E79" s="657"/>
      <c r="F79" s="657"/>
      <c r="G79" s="678"/>
      <c r="H79" s="678"/>
      <c r="I79" s="678"/>
      <c r="J79" s="678"/>
      <c r="K79" s="660"/>
      <c r="L79" s="661"/>
      <c r="M79" s="649"/>
      <c r="N79" s="649"/>
      <c r="O79" s="650"/>
      <c r="P79" s="620"/>
      <c r="W79" s="650"/>
      <c r="X79" s="620"/>
      <c r="AC79" s="650"/>
      <c r="AD79" s="620"/>
      <c r="AI79" s="77" t="s">
        <v>1784</v>
      </c>
      <c r="AK79" s="650"/>
      <c r="AL79" s="634"/>
      <c r="AM79" s="198"/>
      <c r="AO79" s="77"/>
      <c r="AQ79" s="645"/>
      <c r="AR79" s="77"/>
      <c r="AT79" s="650"/>
      <c r="AU79" s="634"/>
      <c r="AV79" s="77"/>
      <c r="AW79" s="77"/>
      <c r="AX79" s="77"/>
      <c r="AY79" s="77"/>
      <c r="AZ79" s="645"/>
      <c r="BA79" s="77"/>
      <c r="BC79" s="650"/>
      <c r="BD79" s="634"/>
      <c r="BE79" s="77"/>
      <c r="BF79" s="77"/>
      <c r="BG79" s="77"/>
      <c r="BH79" s="77"/>
      <c r="BI79" s="77"/>
      <c r="BK79" s="650"/>
    </row>
    <row r="80" spans="1:63" x14ac:dyDescent="0.25">
      <c r="A80" s="620"/>
      <c r="E80" s="657"/>
      <c r="F80" s="657"/>
      <c r="G80" s="678"/>
      <c r="H80" s="678"/>
      <c r="I80" s="678"/>
      <c r="J80" s="678"/>
      <c r="K80" s="660"/>
      <c r="L80" s="661"/>
      <c r="M80" s="649"/>
      <c r="N80" s="649"/>
      <c r="O80" s="650"/>
      <c r="P80" s="620"/>
      <c r="W80" s="650"/>
      <c r="X80" s="620"/>
      <c r="AC80" s="650"/>
      <c r="AD80" s="620"/>
      <c r="AI80" s="77" t="s">
        <v>1785</v>
      </c>
      <c r="AK80" s="650"/>
      <c r="AL80" s="634"/>
      <c r="AM80" s="198"/>
      <c r="AO80" s="77"/>
      <c r="AQ80" s="645"/>
      <c r="AR80" s="77"/>
      <c r="AT80" s="650"/>
      <c r="AU80" s="634"/>
      <c r="AV80" s="77"/>
      <c r="AW80" s="77"/>
      <c r="AX80" s="77"/>
      <c r="AY80" s="77"/>
      <c r="AZ80" s="645"/>
      <c r="BA80" s="77"/>
      <c r="BC80" s="650"/>
      <c r="BD80" s="634"/>
      <c r="BE80" s="77"/>
      <c r="BF80" s="77"/>
      <c r="BG80" s="77"/>
      <c r="BH80" s="77"/>
      <c r="BI80" s="77"/>
      <c r="BK80" s="650"/>
    </row>
    <row r="81" spans="1:63" x14ac:dyDescent="0.25">
      <c r="A81" s="620"/>
      <c r="E81" s="657"/>
      <c r="F81" s="657"/>
      <c r="G81" s="678"/>
      <c r="H81" s="678"/>
      <c r="I81" s="678"/>
      <c r="J81" s="678"/>
      <c r="K81" s="660"/>
      <c r="L81" s="661"/>
      <c r="M81" s="649"/>
      <c r="N81" s="649"/>
      <c r="O81" s="650"/>
      <c r="P81" s="620"/>
      <c r="W81" s="650"/>
      <c r="X81" s="620"/>
      <c r="AC81" s="650"/>
      <c r="AD81" s="620"/>
      <c r="AI81" s="77" t="s">
        <v>1787</v>
      </c>
      <c r="AK81" s="650"/>
      <c r="AL81" s="634"/>
      <c r="AM81" s="198"/>
      <c r="AO81" s="77"/>
      <c r="AQ81" s="645"/>
      <c r="AR81" s="77"/>
      <c r="AT81" s="650"/>
      <c r="AU81" s="634"/>
      <c r="AV81" s="77"/>
      <c r="AW81" s="77"/>
      <c r="AX81" s="77"/>
      <c r="AY81" s="77"/>
      <c r="AZ81" s="645"/>
      <c r="BA81" s="77"/>
      <c r="BC81" s="650"/>
      <c r="BD81" s="634"/>
      <c r="BE81" s="77"/>
      <c r="BF81" s="77"/>
      <c r="BG81" s="77"/>
      <c r="BH81" s="77"/>
      <c r="BI81" s="77"/>
      <c r="BK81" s="650"/>
    </row>
    <row r="82" spans="1:63" x14ac:dyDescent="0.25">
      <c r="A82" s="620"/>
      <c r="E82" s="657"/>
      <c r="F82" s="657"/>
      <c r="G82" s="678"/>
      <c r="H82" s="678"/>
      <c r="I82" s="678"/>
      <c r="J82" s="678"/>
      <c r="K82" s="660"/>
      <c r="L82" s="661"/>
      <c r="M82" s="649"/>
      <c r="N82" s="649"/>
      <c r="O82" s="650"/>
      <c r="P82" s="620"/>
      <c r="W82" s="650"/>
      <c r="X82" s="620"/>
      <c r="AC82" s="650"/>
      <c r="AD82" s="620"/>
      <c r="AI82" s="77" t="s">
        <v>1788</v>
      </c>
      <c r="AK82" s="650"/>
      <c r="AL82" s="634"/>
      <c r="AM82" s="198"/>
      <c r="AO82" s="77"/>
      <c r="AR82" s="77" t="s">
        <v>1789</v>
      </c>
      <c r="AT82" s="650"/>
      <c r="AU82" s="634"/>
      <c r="AV82" s="77"/>
      <c r="AW82" s="77"/>
      <c r="AX82" s="77"/>
      <c r="AY82" s="77"/>
      <c r="BA82" s="77" t="s">
        <v>1789</v>
      </c>
      <c r="BC82" s="650"/>
      <c r="BD82" s="634"/>
      <c r="BE82" s="77"/>
      <c r="BF82" s="77"/>
      <c r="BG82" s="77"/>
      <c r="BH82" s="77"/>
      <c r="BI82" s="77"/>
      <c r="BK82" s="650"/>
    </row>
    <row r="83" spans="1:63" ht="15.75" thickBot="1" x14ac:dyDescent="0.3">
      <c r="A83" s="666"/>
      <c r="B83" s="663"/>
      <c r="C83" s="680"/>
      <c r="D83" s="663"/>
      <c r="E83" s="681"/>
      <c r="F83" s="681"/>
      <c r="G83" s="682"/>
      <c r="H83" s="682"/>
      <c r="I83" s="682"/>
      <c r="J83" s="682"/>
      <c r="K83" s="664"/>
      <c r="L83" s="663"/>
      <c r="M83" s="664"/>
      <c r="N83" s="664"/>
      <c r="O83" s="665"/>
      <c r="P83" s="666"/>
      <c r="Q83" s="663"/>
      <c r="R83" s="663"/>
      <c r="S83" s="663"/>
      <c r="T83" s="663"/>
      <c r="U83" s="663"/>
      <c r="V83" s="663"/>
      <c r="W83" s="665"/>
      <c r="X83" s="666"/>
      <c r="Y83" s="663"/>
      <c r="Z83" s="663"/>
      <c r="AA83" s="663"/>
      <c r="AB83" s="663"/>
      <c r="AC83" s="665"/>
      <c r="AD83" s="666"/>
      <c r="AE83" s="663"/>
      <c r="AF83" s="663"/>
      <c r="AG83" s="663"/>
      <c r="AH83" s="663"/>
      <c r="AI83" s="663"/>
      <c r="AJ83" s="663"/>
      <c r="AK83" s="665"/>
      <c r="AL83" s="667"/>
      <c r="AM83" s="668"/>
      <c r="AN83" s="663"/>
      <c r="AO83" s="669"/>
      <c r="AP83" s="663"/>
      <c r="AQ83" s="663"/>
      <c r="AR83" s="669"/>
      <c r="AS83" s="663"/>
      <c r="AT83" s="665"/>
      <c r="AU83" s="667"/>
      <c r="AV83" s="669"/>
      <c r="AW83" s="669"/>
      <c r="AX83" s="669"/>
      <c r="AY83" s="669"/>
      <c r="AZ83" s="663"/>
      <c r="BA83" s="669"/>
      <c r="BB83" s="663"/>
      <c r="BC83" s="665"/>
      <c r="BD83" s="667"/>
      <c r="BE83" s="669"/>
      <c r="BF83" s="669"/>
      <c r="BG83" s="669"/>
      <c r="BH83" s="669"/>
      <c r="BI83" s="669"/>
      <c r="BJ83" s="663"/>
      <c r="BK83" s="665"/>
    </row>
    <row r="84" spans="1:63" x14ac:dyDescent="0.25">
      <c r="F84" s="1"/>
      <c r="J84" s="29"/>
    </row>
    <row r="85" spans="1:63" x14ac:dyDescent="0.25">
      <c r="F85" s="1"/>
      <c r="J85" s="29"/>
    </row>
    <row r="86" spans="1:63" x14ac:dyDescent="0.25">
      <c r="F86" s="1"/>
      <c r="J86" s="29"/>
    </row>
    <row r="87" spans="1:63" x14ac:dyDescent="0.25">
      <c r="F87" s="1"/>
      <c r="J87" s="29"/>
    </row>
    <row r="88" spans="1:63" x14ac:dyDescent="0.25">
      <c r="F88" s="1"/>
      <c r="J88" s="29"/>
    </row>
    <row r="89" spans="1:63" x14ac:dyDescent="0.25">
      <c r="F89" s="1"/>
      <c r="J89" s="29"/>
    </row>
    <row r="90" spans="1:63" x14ac:dyDescent="0.25">
      <c r="F90" s="1"/>
      <c r="J90" s="29"/>
    </row>
    <row r="91" spans="1:63" x14ac:dyDescent="0.25">
      <c r="F91" s="1"/>
      <c r="J91" s="29"/>
    </row>
    <row r="92" spans="1:63" x14ac:dyDescent="0.25">
      <c r="F92" s="1"/>
      <c r="J92" s="29"/>
    </row>
    <row r="94" spans="1:63" x14ac:dyDescent="0.25">
      <c r="F94" s="1"/>
    </row>
    <row r="96" spans="1:63" x14ac:dyDescent="0.25">
      <c r="F96" s="1"/>
    </row>
    <row r="98" spans="6:6" x14ac:dyDescent="0.25">
      <c r="F98" s="1"/>
    </row>
  </sheetData>
  <mergeCells count="15">
    <mergeCell ref="AC17:AC27"/>
    <mergeCell ref="AD17:AK26"/>
    <mergeCell ref="A1:C3"/>
    <mergeCell ref="F4:H6"/>
    <mergeCell ref="AL12:AT12"/>
    <mergeCell ref="J15:J16"/>
    <mergeCell ref="K15:O16"/>
    <mergeCell ref="AC63:AC73"/>
    <mergeCell ref="AD63:AK72"/>
    <mergeCell ref="J38:J39"/>
    <mergeCell ref="K38:O39"/>
    <mergeCell ref="AC40:AC50"/>
    <mergeCell ref="AD40:AK49"/>
    <mergeCell ref="J61:J62"/>
    <mergeCell ref="K61:O6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C963-1FF8-45CE-9875-25D85AE75B70}">
  <dimension ref="A1:X40"/>
  <sheetViews>
    <sheetView workbookViewId="0">
      <selection activeCell="T14" sqref="T14"/>
    </sheetView>
  </sheetViews>
  <sheetFormatPr defaultRowHeight="15" x14ac:dyDescent="0.25"/>
  <cols>
    <col min="1" max="1" width="2" customWidth="1"/>
    <col min="2" max="3" width="8.85546875" customWidth="1"/>
    <col min="21" max="21" width="9.140625" customWidth="1"/>
    <col min="22" max="23" width="11" customWidth="1"/>
  </cols>
  <sheetData>
    <row r="1" spans="1:7" x14ac:dyDescent="0.25">
      <c r="A1" s="722" t="s">
        <v>1826</v>
      </c>
      <c r="B1" s="723"/>
      <c r="C1" s="724"/>
    </row>
    <row r="2" spans="1:7" ht="31.5" x14ac:dyDescent="0.5">
      <c r="A2" s="725"/>
      <c r="B2" s="726"/>
      <c r="C2" s="727"/>
      <c r="D2" s="151" t="s">
        <v>1827</v>
      </c>
    </row>
    <row r="3" spans="1:7" ht="23.25" x14ac:dyDescent="0.25">
      <c r="A3" s="728"/>
      <c r="B3" s="729"/>
      <c r="C3" s="730"/>
      <c r="F3" s="337" t="s">
        <v>1185</v>
      </c>
    </row>
    <row r="4" spans="1:7" x14ac:dyDescent="0.25">
      <c r="D4" t="s">
        <v>1828</v>
      </c>
    </row>
    <row r="5" spans="1:7" x14ac:dyDescent="0.25">
      <c r="D5" t="s">
        <v>1829</v>
      </c>
      <c r="G5" t="s">
        <v>1830</v>
      </c>
    </row>
    <row r="6" spans="1:7" x14ac:dyDescent="0.25">
      <c r="D6" t="s">
        <v>1831</v>
      </c>
      <c r="G6" t="s">
        <v>1832</v>
      </c>
    </row>
    <row r="7" spans="1:7" x14ac:dyDescent="0.25">
      <c r="D7" t="s">
        <v>1833</v>
      </c>
      <c r="G7" t="s">
        <v>1830</v>
      </c>
    </row>
    <row r="9" spans="1:7" x14ac:dyDescent="0.25">
      <c r="D9" t="s">
        <v>1834</v>
      </c>
    </row>
    <row r="10" spans="1:7" x14ac:dyDescent="0.25">
      <c r="D10" t="s">
        <v>1835</v>
      </c>
    </row>
    <row r="12" spans="1:7" ht="31.5" x14ac:dyDescent="0.5">
      <c r="C12" s="683" t="s">
        <v>1697</v>
      </c>
    </row>
    <row r="13" spans="1:7" ht="18.75" x14ac:dyDescent="0.3">
      <c r="C13" s="27" t="s">
        <v>166</v>
      </c>
      <c r="D13" s="344" t="s">
        <v>1836</v>
      </c>
    </row>
    <row r="14" spans="1:7" x14ac:dyDescent="0.25">
      <c r="C14" s="28" t="s">
        <v>1829</v>
      </c>
      <c r="D14" s="29">
        <v>12</v>
      </c>
      <c r="E14" s="29" t="s">
        <v>1837</v>
      </c>
    </row>
    <row r="15" spans="1:7" x14ac:dyDescent="0.25">
      <c r="C15" s="28" t="s">
        <v>1831</v>
      </c>
      <c r="D15" s="29">
        <v>12</v>
      </c>
      <c r="E15" s="29" t="s">
        <v>1837</v>
      </c>
    </row>
    <row r="16" spans="1:7" x14ac:dyDescent="0.25">
      <c r="C16" s="28" t="s">
        <v>1833</v>
      </c>
      <c r="D16" s="29">
        <v>12</v>
      </c>
      <c r="E16" s="29" t="s">
        <v>1837</v>
      </c>
    </row>
    <row r="17" spans="2:18" ht="15.75" thickBot="1" x14ac:dyDescent="0.3"/>
    <row r="18" spans="2:18" ht="19.5" thickBot="1" x14ac:dyDescent="0.3">
      <c r="F18" s="684" t="s">
        <v>1833</v>
      </c>
      <c r="G18" s="685"/>
      <c r="H18" s="685"/>
      <c r="I18" s="686"/>
    </row>
    <row r="19" spans="2:18" ht="19.5" thickBot="1" x14ac:dyDescent="0.3">
      <c r="B19" s="687" t="s">
        <v>1829</v>
      </c>
      <c r="C19" s="688"/>
      <c r="D19" s="688"/>
      <c r="E19" s="689"/>
      <c r="F19" s="690" t="s">
        <v>1831</v>
      </c>
      <c r="G19" s="691"/>
      <c r="H19" s="691"/>
      <c r="I19" s="692"/>
    </row>
    <row r="20" spans="2:18" x14ac:dyDescent="0.25">
      <c r="B20" s="693">
        <v>41640</v>
      </c>
      <c r="C20" s="693"/>
      <c r="D20" s="693"/>
      <c r="E20" s="693"/>
      <c r="F20" s="693">
        <v>42005</v>
      </c>
      <c r="G20" s="693"/>
      <c r="H20" s="693"/>
      <c r="I20" s="693"/>
      <c r="J20" s="693">
        <v>42370</v>
      </c>
    </row>
    <row r="23" spans="2:18" ht="18.75" x14ac:dyDescent="0.3">
      <c r="C23" s="27" t="s">
        <v>167</v>
      </c>
      <c r="D23" s="344" t="s">
        <v>1838</v>
      </c>
    </row>
    <row r="24" spans="2:18" x14ac:dyDescent="0.25">
      <c r="C24" s="28" t="s">
        <v>1829</v>
      </c>
      <c r="D24" s="29">
        <v>12</v>
      </c>
      <c r="E24" s="29" t="s">
        <v>1837</v>
      </c>
    </row>
    <row r="25" spans="2:18" x14ac:dyDescent="0.25">
      <c r="C25" s="28" t="s">
        <v>1831</v>
      </c>
      <c r="D25" s="29">
        <v>36</v>
      </c>
      <c r="E25" s="29" t="s">
        <v>1837</v>
      </c>
    </row>
    <row r="26" spans="2:18" x14ac:dyDescent="0.25">
      <c r="C26" s="28" t="s">
        <v>1833</v>
      </c>
      <c r="D26" s="29">
        <v>12</v>
      </c>
      <c r="E26" s="29" t="s">
        <v>1837</v>
      </c>
    </row>
    <row r="27" spans="2:18" ht="15.75" thickBot="1" x14ac:dyDescent="0.3"/>
    <row r="28" spans="2:18" ht="19.5" thickBot="1" x14ac:dyDescent="0.3">
      <c r="N28" s="684" t="s">
        <v>1833</v>
      </c>
      <c r="O28" s="685"/>
      <c r="P28" s="685"/>
      <c r="Q28" s="686"/>
    </row>
    <row r="29" spans="2:18" ht="19.5" thickBot="1" x14ac:dyDescent="0.3">
      <c r="B29" s="687" t="s">
        <v>1829</v>
      </c>
      <c r="C29" s="688"/>
      <c r="D29" s="688"/>
      <c r="E29" s="689"/>
      <c r="F29" s="690" t="s">
        <v>1831</v>
      </c>
      <c r="G29" s="691"/>
      <c r="H29" s="691"/>
      <c r="I29" s="691"/>
      <c r="J29" s="691"/>
      <c r="K29" s="691"/>
      <c r="L29" s="691"/>
      <c r="M29" s="691"/>
      <c r="N29" s="691"/>
      <c r="O29" s="691"/>
      <c r="P29" s="691"/>
      <c r="Q29" s="692"/>
    </row>
    <row r="30" spans="2:18" x14ac:dyDescent="0.25">
      <c r="B30" s="693">
        <v>41640</v>
      </c>
      <c r="C30" s="693"/>
      <c r="D30" s="693"/>
      <c r="E30" s="693"/>
      <c r="F30" s="693">
        <v>42005</v>
      </c>
      <c r="G30" s="693"/>
      <c r="H30" s="693"/>
      <c r="I30" s="693"/>
      <c r="J30" s="693">
        <v>42370</v>
      </c>
      <c r="N30" s="693">
        <v>42736</v>
      </c>
      <c r="R30" s="693">
        <v>43101</v>
      </c>
    </row>
    <row r="33" spans="2:24" ht="18.75" x14ac:dyDescent="0.3">
      <c r="C33" s="27" t="s">
        <v>168</v>
      </c>
      <c r="D33" s="344" t="s">
        <v>1839</v>
      </c>
    </row>
    <row r="34" spans="2:24" x14ac:dyDescent="0.25">
      <c r="C34" s="28" t="s">
        <v>1829</v>
      </c>
      <c r="D34" s="29">
        <v>12</v>
      </c>
      <c r="E34" s="29" t="s">
        <v>1837</v>
      </c>
    </row>
    <row r="35" spans="2:24" x14ac:dyDescent="0.25">
      <c r="C35" s="28" t="s">
        <v>1831</v>
      </c>
      <c r="D35" s="29">
        <v>120</v>
      </c>
      <c r="E35" s="29" t="s">
        <v>1837</v>
      </c>
    </row>
    <row r="36" spans="2:24" x14ac:dyDescent="0.25">
      <c r="C36" s="28" t="s">
        <v>1833</v>
      </c>
      <c r="D36" s="29">
        <v>12</v>
      </c>
      <c r="E36" s="29" t="s">
        <v>1837</v>
      </c>
    </row>
    <row r="37" spans="2:24" ht="15.75" thickBot="1" x14ac:dyDescent="0.3"/>
    <row r="38" spans="2:24" ht="19.5" thickBot="1" x14ac:dyDescent="0.3">
      <c r="V38" s="684" t="s">
        <v>1833</v>
      </c>
      <c r="W38" s="686"/>
    </row>
    <row r="39" spans="2:24" ht="19.5" thickBot="1" x14ac:dyDescent="0.3">
      <c r="B39" s="687" t="s">
        <v>1829</v>
      </c>
      <c r="C39" s="689"/>
      <c r="D39" s="690" t="s">
        <v>1831</v>
      </c>
      <c r="E39" s="691"/>
      <c r="F39" s="691"/>
      <c r="G39" s="691"/>
      <c r="H39" s="691"/>
      <c r="I39" s="691"/>
      <c r="J39" s="691"/>
      <c r="K39" s="691"/>
      <c r="L39" s="691"/>
      <c r="M39" s="691"/>
      <c r="N39" s="691"/>
      <c r="O39" s="691"/>
      <c r="P39" s="691"/>
      <c r="Q39" s="691"/>
      <c r="R39" s="691"/>
      <c r="S39" s="691"/>
      <c r="T39" s="691"/>
      <c r="U39" s="691"/>
      <c r="V39" s="691"/>
      <c r="W39" s="692"/>
    </row>
    <row r="40" spans="2:24" x14ac:dyDescent="0.25">
      <c r="B40" s="693">
        <v>41640</v>
      </c>
      <c r="C40" s="693"/>
      <c r="D40" s="693">
        <v>42005</v>
      </c>
      <c r="E40" s="693"/>
      <c r="F40" s="693">
        <v>42370</v>
      </c>
      <c r="G40" s="693"/>
      <c r="H40" s="693">
        <v>42736</v>
      </c>
      <c r="J40" s="693">
        <v>43101</v>
      </c>
      <c r="L40" s="693">
        <v>43466</v>
      </c>
      <c r="N40" s="693">
        <v>43831</v>
      </c>
      <c r="P40" s="693">
        <v>44197</v>
      </c>
      <c r="R40" s="693">
        <v>44562</v>
      </c>
      <c r="T40" s="693">
        <v>44927</v>
      </c>
      <c r="V40" s="693">
        <v>45292</v>
      </c>
      <c r="X40" s="693">
        <v>45658</v>
      </c>
    </row>
  </sheetData>
  <mergeCells count="1">
    <mergeCell ref="A1:C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BE4E-B253-4565-A4A6-6E9E3920F309}">
  <dimension ref="A1:S27"/>
  <sheetViews>
    <sheetView workbookViewId="0">
      <selection activeCell="S17" sqref="S17"/>
    </sheetView>
  </sheetViews>
  <sheetFormatPr defaultRowHeight="15" x14ac:dyDescent="0.25"/>
  <cols>
    <col min="1" max="3" width="5.42578125" customWidth="1"/>
  </cols>
  <sheetData>
    <row r="1" spans="1:19" x14ac:dyDescent="0.25">
      <c r="A1" s="722" t="s">
        <v>1840</v>
      </c>
      <c r="B1" s="723"/>
      <c r="C1" s="724"/>
    </row>
    <row r="2" spans="1:19" ht="31.5" x14ac:dyDescent="0.5">
      <c r="A2" s="725"/>
      <c r="B2" s="726"/>
      <c r="C2" s="727"/>
      <c r="D2" s="151" t="s">
        <v>1841</v>
      </c>
    </row>
    <row r="3" spans="1:19" ht="23.25" x14ac:dyDescent="0.25">
      <c r="A3" s="728"/>
      <c r="B3" s="729"/>
      <c r="C3" s="730"/>
      <c r="F3" s="337" t="s">
        <v>1185</v>
      </c>
    </row>
    <row r="6" spans="1:19" ht="23.25" x14ac:dyDescent="0.25">
      <c r="C6" s="694" t="s">
        <v>1842</v>
      </c>
      <c r="D6" s="365"/>
      <c r="E6" s="365"/>
      <c r="F6" s="365"/>
      <c r="G6" s="365"/>
      <c r="H6" s="365"/>
      <c r="I6" s="365"/>
      <c r="J6" s="365"/>
      <c r="L6" s="694" t="s">
        <v>1843</v>
      </c>
      <c r="M6" s="365"/>
      <c r="N6" s="365"/>
      <c r="O6" s="365"/>
      <c r="P6" s="365"/>
      <c r="Q6" s="365"/>
      <c r="R6" s="365"/>
      <c r="S6" s="365"/>
    </row>
    <row r="7" spans="1:19" ht="15.75" thickBot="1" x14ac:dyDescent="0.3"/>
    <row r="8" spans="1:19" ht="18.75" x14ac:dyDescent="0.25">
      <c r="F8" s="695"/>
      <c r="G8" s="696"/>
      <c r="O8" s="697"/>
      <c r="P8" s="698" t="s">
        <v>1844</v>
      </c>
    </row>
    <row r="9" spans="1:19" ht="18.75" x14ac:dyDescent="0.25">
      <c r="F9" s="699"/>
      <c r="G9" s="700"/>
      <c r="H9" s="698" t="s">
        <v>1845</v>
      </c>
      <c r="O9" s="701"/>
      <c r="P9" s="698"/>
    </row>
    <row r="10" spans="1:19" ht="20.25" x14ac:dyDescent="0.25">
      <c r="E10" s="702" t="s">
        <v>1846</v>
      </c>
      <c r="F10" s="699"/>
      <c r="G10" s="700"/>
      <c r="H10" s="698"/>
      <c r="I10" s="27" t="s">
        <v>1847</v>
      </c>
      <c r="O10" s="701"/>
      <c r="P10" s="698"/>
    </row>
    <row r="11" spans="1:19" ht="19.5" thickBot="1" x14ac:dyDescent="0.3">
      <c r="F11" s="699"/>
      <c r="G11" s="703"/>
      <c r="H11" s="698"/>
      <c r="O11" s="704"/>
      <c r="P11" s="698"/>
    </row>
    <row r="12" spans="1:19" ht="29.25" thickBot="1" x14ac:dyDescent="0.3">
      <c r="F12" s="699"/>
      <c r="G12" s="705"/>
      <c r="H12" s="698"/>
      <c r="K12" s="706" t="s">
        <v>1848</v>
      </c>
      <c r="O12" s="707"/>
      <c r="P12" s="698" t="s">
        <v>1849</v>
      </c>
    </row>
    <row r="13" spans="1:19" ht="18.75" x14ac:dyDescent="0.25">
      <c r="F13" s="699"/>
      <c r="G13" s="708"/>
      <c r="H13" s="698"/>
      <c r="O13" s="709"/>
      <c r="P13" s="698" t="s">
        <v>1850</v>
      </c>
    </row>
    <row r="14" spans="1:19" ht="18.75" x14ac:dyDescent="0.25">
      <c r="F14" s="699"/>
      <c r="G14" s="708"/>
      <c r="O14" s="710"/>
      <c r="P14" s="698"/>
    </row>
    <row r="15" spans="1:19" ht="19.5" thickBot="1" x14ac:dyDescent="0.3">
      <c r="F15" s="699"/>
      <c r="G15" s="708"/>
      <c r="N15" s="702" t="s">
        <v>1851</v>
      </c>
      <c r="O15" s="711"/>
      <c r="P15" s="698"/>
    </row>
    <row r="16" spans="1:19" ht="20.25" x14ac:dyDescent="0.25">
      <c r="F16" s="699"/>
      <c r="G16" s="708"/>
      <c r="M16" s="27" t="s">
        <v>1852</v>
      </c>
      <c r="O16" s="712"/>
      <c r="P16" s="698" t="s">
        <v>1853</v>
      </c>
    </row>
    <row r="17" spans="6:16" ht="18.75" x14ac:dyDescent="0.25">
      <c r="F17" s="699"/>
      <c r="G17" s="708"/>
      <c r="O17" s="713"/>
      <c r="P17" s="698"/>
    </row>
    <row r="18" spans="6:16" ht="18.75" x14ac:dyDescent="0.25">
      <c r="F18" s="699"/>
      <c r="G18" s="708"/>
      <c r="O18" s="713"/>
      <c r="P18" s="698"/>
    </row>
    <row r="19" spans="6:16" ht="19.5" thickBot="1" x14ac:dyDescent="0.3">
      <c r="F19" s="699"/>
      <c r="G19" s="708"/>
      <c r="O19" s="714"/>
      <c r="P19" s="698"/>
    </row>
    <row r="20" spans="6:16" ht="18.75" x14ac:dyDescent="0.25">
      <c r="F20" s="699"/>
      <c r="G20" s="708"/>
      <c r="O20" s="715"/>
      <c r="P20" s="698" t="s">
        <v>1854</v>
      </c>
    </row>
    <row r="21" spans="6:16" ht="19.5" thickBot="1" x14ac:dyDescent="0.3">
      <c r="F21" s="699"/>
      <c r="G21" s="708"/>
      <c r="H21" s="698" t="s">
        <v>1855</v>
      </c>
      <c r="O21" s="716"/>
      <c r="P21" s="698"/>
    </row>
    <row r="22" spans="6:16" ht="18.75" x14ac:dyDescent="0.25">
      <c r="F22" s="699"/>
      <c r="G22" s="708"/>
      <c r="O22" s="717"/>
      <c r="P22" s="698" t="s">
        <v>1856</v>
      </c>
    </row>
    <row r="23" spans="6:16" ht="18.75" x14ac:dyDescent="0.25">
      <c r="F23" s="699"/>
      <c r="G23" s="708"/>
      <c r="O23" s="718"/>
      <c r="P23" s="698"/>
    </row>
    <row r="24" spans="6:16" ht="18.75" x14ac:dyDescent="0.25">
      <c r="F24" s="699"/>
      <c r="G24" s="708"/>
      <c r="O24" s="718"/>
      <c r="P24" s="698"/>
    </row>
    <row r="25" spans="6:16" ht="18.75" x14ac:dyDescent="0.25">
      <c r="F25" s="699"/>
      <c r="G25" s="708"/>
      <c r="O25" s="718"/>
      <c r="P25" s="698"/>
    </row>
    <row r="26" spans="6:16" ht="19.5" thickBot="1" x14ac:dyDescent="0.3">
      <c r="F26" s="719"/>
      <c r="G26" s="720"/>
      <c r="O26" s="721"/>
      <c r="P26" s="698"/>
    </row>
    <row r="27" spans="6:16" ht="42" x14ac:dyDescent="0.75">
      <c r="I27" s="391" t="s">
        <v>1857</v>
      </c>
    </row>
  </sheetData>
  <mergeCells count="1">
    <mergeCell ref="A1:C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254"/>
  <sheetViews>
    <sheetView topLeftCell="B1" zoomScale="95" zoomScaleNormal="95" workbookViewId="0">
      <selection activeCell="T33" sqref="T33"/>
    </sheetView>
  </sheetViews>
  <sheetFormatPr defaultColWidth="9.140625" defaultRowHeight="15" x14ac:dyDescent="0.25"/>
  <cols>
    <col min="1" max="8" width="3.5703125" style="1" customWidth="1"/>
    <col min="9" max="14" width="2.28515625" style="1" customWidth="1"/>
    <col min="15" max="15" width="4.140625" style="1" customWidth="1"/>
    <col min="16" max="16" width="5.28515625" style="1" customWidth="1"/>
    <col min="17" max="50" width="4.140625" style="1" customWidth="1"/>
    <col min="51" max="67" width="3.5703125" style="1" customWidth="1"/>
    <col min="68" max="68" width="6.140625" style="1" customWidth="1"/>
    <col min="69" max="16384" width="9.140625" style="1"/>
  </cols>
  <sheetData>
    <row r="1" spans="1:80" ht="36" x14ac:dyDescent="0.25">
      <c r="A1" s="722">
        <v>2</v>
      </c>
      <c r="B1" s="723"/>
      <c r="C1" s="724"/>
      <c r="D1" s="33" t="s">
        <v>1178</v>
      </c>
    </row>
    <row r="2" spans="1:80" ht="31.5" x14ac:dyDescent="0.5">
      <c r="A2" s="725"/>
      <c r="B2" s="726"/>
      <c r="C2" s="727"/>
      <c r="G2" s="151" t="s">
        <v>1179</v>
      </c>
    </row>
    <row r="3" spans="1:80" x14ac:dyDescent="0.25">
      <c r="A3" s="728"/>
      <c r="B3" s="729"/>
      <c r="C3" s="730"/>
    </row>
    <row r="4" spans="1:80" ht="31.5" x14ac:dyDescent="0.25">
      <c r="F4" s="35" t="s">
        <v>0</v>
      </c>
    </row>
    <row r="6" spans="1:80" ht="18.75" customHeight="1" x14ac:dyDescent="0.25">
      <c r="O6" s="2"/>
    </row>
    <row r="7" spans="1:80" ht="18.75" customHeight="1" thickBot="1" x14ac:dyDescent="0.3">
      <c r="A7" s="5" t="s">
        <v>1</v>
      </c>
      <c r="P7" s="3" t="s">
        <v>2</v>
      </c>
      <c r="AA7" s="3" t="s">
        <v>3</v>
      </c>
      <c r="AW7" s="45" t="s">
        <v>4</v>
      </c>
      <c r="BA7" s="5" t="s">
        <v>5</v>
      </c>
    </row>
    <row r="8" spans="1:80" ht="18.75" customHeight="1" thickTop="1" x14ac:dyDescent="0.25">
      <c r="B8" s="36" t="s">
        <v>6</v>
      </c>
      <c r="C8" s="5" t="s">
        <v>1182</v>
      </c>
      <c r="O8" s="6"/>
      <c r="P8" s="7"/>
      <c r="Q8" s="8"/>
      <c r="R8" s="9"/>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1"/>
      <c r="AV8" s="12"/>
      <c r="AW8" s="7"/>
      <c r="AX8" s="13"/>
      <c r="BA8" s="36" t="s">
        <v>6</v>
      </c>
      <c r="BB8" s="5" t="s">
        <v>7</v>
      </c>
    </row>
    <row r="9" spans="1:80" ht="18.75" customHeight="1" x14ac:dyDescent="0.25">
      <c r="C9" s="44" t="s">
        <v>8</v>
      </c>
      <c r="D9" s="1" t="s">
        <v>9</v>
      </c>
      <c r="O9" s="14"/>
      <c r="P9" s="4"/>
      <c r="Q9" s="15"/>
      <c r="R9" s="16"/>
      <c r="AU9" s="15"/>
      <c r="AV9" s="16"/>
      <c r="AW9" s="4"/>
      <c r="AX9" s="17"/>
    </row>
    <row r="10" spans="1:80" ht="18.75" customHeight="1" x14ac:dyDescent="0.25">
      <c r="C10" s="44" t="s">
        <v>8</v>
      </c>
      <c r="D10" s="1" t="s">
        <v>1183</v>
      </c>
      <c r="O10" s="14"/>
      <c r="P10" s="4"/>
      <c r="Q10" s="15"/>
      <c r="R10" s="16"/>
      <c r="AU10" s="15"/>
      <c r="AV10" s="16"/>
      <c r="AW10" s="4"/>
      <c r="AX10" s="17"/>
      <c r="BA10" s="36" t="s">
        <v>6</v>
      </c>
      <c r="BB10" s="25" t="s">
        <v>10</v>
      </c>
      <c r="BV10" s="29"/>
      <c r="BW10" s="29"/>
      <c r="BX10" s="29"/>
      <c r="BY10" s="29"/>
      <c r="BZ10" s="29"/>
      <c r="CA10" s="29"/>
      <c r="CB10" s="29"/>
    </row>
    <row r="11" spans="1:80" ht="18.75" customHeight="1" x14ac:dyDescent="0.25">
      <c r="C11" s="44" t="s">
        <v>8</v>
      </c>
      <c r="D11" s="1" t="s">
        <v>11</v>
      </c>
      <c r="O11" s="14"/>
      <c r="P11" s="4"/>
      <c r="R11" s="16"/>
      <c r="AU11" s="15"/>
      <c r="AV11" s="16"/>
      <c r="AW11" s="4"/>
      <c r="AX11" s="17"/>
      <c r="BV11" s="29"/>
      <c r="BW11" s="29"/>
      <c r="BX11" s="29"/>
      <c r="BY11" s="29"/>
      <c r="BZ11" s="29"/>
      <c r="CA11" s="29"/>
      <c r="CB11" s="29"/>
    </row>
    <row r="12" spans="1:80" ht="18.75" customHeight="1" x14ac:dyDescent="0.25">
      <c r="B12" s="36" t="s">
        <v>6</v>
      </c>
      <c r="C12" s="5" t="s">
        <v>12</v>
      </c>
      <c r="O12" s="14"/>
      <c r="P12" s="4"/>
      <c r="R12" s="16"/>
      <c r="AU12" s="15"/>
      <c r="AV12" s="16"/>
      <c r="AW12" s="4"/>
      <c r="AX12" s="17"/>
      <c r="BA12" s="44" t="s">
        <v>8</v>
      </c>
      <c r="BB12" s="5" t="s">
        <v>13</v>
      </c>
      <c r="BG12" s="30" t="s">
        <v>14</v>
      </c>
      <c r="BH12" s="31"/>
      <c r="BI12" s="31"/>
      <c r="BJ12" s="31"/>
      <c r="BK12" s="31"/>
      <c r="BL12" s="31"/>
      <c r="BM12" s="31"/>
      <c r="BN12" s="31"/>
      <c r="BO12" s="31"/>
      <c r="BP12" s="31"/>
      <c r="BQ12" s="31"/>
      <c r="BR12" s="31"/>
      <c r="BS12" s="31"/>
      <c r="BT12" s="32"/>
      <c r="BV12" s="29"/>
      <c r="BX12" s="29"/>
      <c r="BY12" s="29"/>
      <c r="BZ12" s="29"/>
      <c r="CA12" s="29"/>
      <c r="CB12" s="29"/>
    </row>
    <row r="13" spans="1:80" ht="18.75" customHeight="1" x14ac:dyDescent="0.25">
      <c r="C13" s="36" t="s">
        <v>6</v>
      </c>
      <c r="D13" s="1" t="s">
        <v>15</v>
      </c>
      <c r="O13" s="14"/>
      <c r="P13" s="4"/>
      <c r="R13" s="16"/>
      <c r="AU13" s="15"/>
      <c r="AV13" s="16"/>
      <c r="AW13" s="4"/>
      <c r="AX13" s="17"/>
      <c r="BB13" s="44" t="s">
        <v>8</v>
      </c>
      <c r="BC13" s="1" t="s">
        <v>16</v>
      </c>
      <c r="BV13" s="29"/>
    </row>
    <row r="14" spans="1:80" ht="18.75" customHeight="1" x14ac:dyDescent="0.25">
      <c r="C14" s="36" t="s">
        <v>6</v>
      </c>
      <c r="D14" s="1" t="s">
        <v>17</v>
      </c>
      <c r="O14" s="14"/>
      <c r="P14" s="4"/>
      <c r="R14" s="16"/>
      <c r="S14" s="34" t="s">
        <v>18</v>
      </c>
      <c r="AU14" s="15"/>
      <c r="AV14" s="16"/>
      <c r="AW14" s="4"/>
      <c r="AX14" s="17"/>
      <c r="BB14" s="44" t="s">
        <v>8</v>
      </c>
      <c r="BC14" s="1" t="s">
        <v>19</v>
      </c>
      <c r="BV14" s="29"/>
    </row>
    <row r="15" spans="1:80" ht="18.75" customHeight="1" x14ac:dyDescent="0.25">
      <c r="C15" s="36" t="s">
        <v>6</v>
      </c>
      <c r="D15" s="1" t="s">
        <v>20</v>
      </c>
      <c r="O15" s="14"/>
      <c r="P15" s="4"/>
      <c r="R15" s="16"/>
      <c r="T15" s="1" t="s">
        <v>21</v>
      </c>
      <c r="AC15" s="34" t="s">
        <v>22</v>
      </c>
      <c r="AU15" s="15"/>
      <c r="AV15" s="16"/>
      <c r="AW15" s="4"/>
      <c r="AX15" s="17"/>
      <c r="BC15" s="44" t="s">
        <v>8</v>
      </c>
      <c r="BD15" s="1" t="s">
        <v>23</v>
      </c>
      <c r="BK15" s="755" t="s">
        <v>24</v>
      </c>
      <c r="BL15" s="756"/>
      <c r="BM15" s="756"/>
      <c r="BN15" s="756"/>
      <c r="BO15" s="756"/>
      <c r="BP15" s="756"/>
      <c r="BQ15" s="757"/>
      <c r="BV15" s="29"/>
    </row>
    <row r="16" spans="1:80" ht="18.75" customHeight="1" x14ac:dyDescent="0.25">
      <c r="C16" s="44" t="s">
        <v>8</v>
      </c>
      <c r="D16" s="1" t="s">
        <v>25</v>
      </c>
      <c r="O16" s="14"/>
      <c r="P16" s="4"/>
      <c r="Q16" s="15"/>
      <c r="R16" s="16"/>
      <c r="T16" s="1" t="s">
        <v>26</v>
      </c>
      <c r="Y16" s="5" t="s">
        <v>27</v>
      </c>
      <c r="Z16" s="5"/>
      <c r="AD16" s="1" t="s">
        <v>28</v>
      </c>
      <c r="AU16" s="15"/>
      <c r="AV16" s="16"/>
      <c r="AW16" s="4"/>
      <c r="AX16" s="17"/>
      <c r="BC16" s="44" t="s">
        <v>8</v>
      </c>
      <c r="BD16" s="1" t="s">
        <v>29</v>
      </c>
      <c r="BK16" s="758"/>
      <c r="BL16" s="759"/>
      <c r="BM16" s="759"/>
      <c r="BN16" s="759"/>
      <c r="BO16" s="759"/>
      <c r="BP16" s="759"/>
      <c r="BQ16" s="760"/>
      <c r="BV16" s="29"/>
    </row>
    <row r="17" spans="2:69" ht="18.75" customHeight="1" x14ac:dyDescent="0.25">
      <c r="C17" s="44" t="s">
        <v>8</v>
      </c>
      <c r="D17" s="1" t="s">
        <v>30</v>
      </c>
      <c r="O17" s="14"/>
      <c r="P17" s="4"/>
      <c r="Q17" s="15"/>
      <c r="R17" s="16"/>
      <c r="T17" s="1" t="s">
        <v>31</v>
      </c>
      <c r="Z17" s="1" t="s">
        <v>32</v>
      </c>
      <c r="AD17" s="1" t="s">
        <v>33</v>
      </c>
      <c r="AK17" s="34" t="s">
        <v>34</v>
      </c>
      <c r="AU17" s="15"/>
      <c r="AV17" s="16"/>
      <c r="AW17" s="4"/>
      <c r="AX17" s="17"/>
      <c r="BC17" s="44" t="s">
        <v>8</v>
      </c>
      <c r="BD17" s="1" t="s">
        <v>35</v>
      </c>
      <c r="BK17" s="758"/>
      <c r="BL17" s="759"/>
      <c r="BM17" s="759"/>
      <c r="BN17" s="759"/>
      <c r="BO17" s="759"/>
      <c r="BP17" s="759"/>
      <c r="BQ17" s="760"/>
    </row>
    <row r="18" spans="2:69" ht="18.75" customHeight="1" x14ac:dyDescent="0.25">
      <c r="B18" s="36" t="s">
        <v>6</v>
      </c>
      <c r="C18" s="5" t="s">
        <v>36</v>
      </c>
      <c r="O18" s="14"/>
      <c r="P18" s="4"/>
      <c r="Q18" s="15"/>
      <c r="R18" s="16"/>
      <c r="T18" s="1" t="s">
        <v>37</v>
      </c>
      <c r="Z18" s="1" t="s">
        <v>38</v>
      </c>
      <c r="AK18" s="34"/>
      <c r="AL18" s="1" t="s">
        <v>39</v>
      </c>
      <c r="AU18" s="15"/>
      <c r="AV18" s="16"/>
      <c r="AW18" s="4"/>
      <c r="AX18" s="17"/>
      <c r="BC18" s="44" t="s">
        <v>8</v>
      </c>
      <c r="BD18" s="1" t="s">
        <v>40</v>
      </c>
      <c r="BK18" s="761"/>
      <c r="BL18" s="762"/>
      <c r="BM18" s="762"/>
      <c r="BN18" s="762"/>
      <c r="BO18" s="762"/>
      <c r="BP18" s="762"/>
      <c r="BQ18" s="763"/>
    </row>
    <row r="19" spans="2:69" ht="18.75" customHeight="1" x14ac:dyDescent="0.25">
      <c r="C19" s="36" t="s">
        <v>6</v>
      </c>
      <c r="D19" s="1" t="s">
        <v>23</v>
      </c>
      <c r="O19" s="14"/>
      <c r="P19" s="4"/>
      <c r="Q19" s="15"/>
      <c r="R19" s="16"/>
      <c r="AL19" s="1" t="s">
        <v>41</v>
      </c>
      <c r="AU19" s="15"/>
      <c r="AV19" s="16"/>
      <c r="AW19" s="4"/>
      <c r="AX19" s="17"/>
      <c r="BC19" s="44" t="s">
        <v>8</v>
      </c>
      <c r="BD19" s="1" t="s">
        <v>42</v>
      </c>
    </row>
    <row r="20" spans="2:69" ht="18.75" customHeight="1" x14ac:dyDescent="0.25">
      <c r="C20" s="44" t="s">
        <v>8</v>
      </c>
      <c r="D20" s="1" t="s">
        <v>29</v>
      </c>
      <c r="O20" s="14"/>
      <c r="P20" s="4"/>
      <c r="Q20" s="15"/>
      <c r="R20" s="16"/>
      <c r="AL20" s="1" t="s">
        <v>43</v>
      </c>
      <c r="AU20" s="15"/>
      <c r="AV20" s="16"/>
      <c r="AW20" s="4"/>
      <c r="AX20" s="17"/>
      <c r="BA20" s="44" t="s">
        <v>8</v>
      </c>
      <c r="BB20" s="5" t="s">
        <v>44</v>
      </c>
      <c r="BG20" s="195"/>
    </row>
    <row r="21" spans="2:69" ht="18.75" customHeight="1" x14ac:dyDescent="0.25">
      <c r="C21" s="44" t="s">
        <v>8</v>
      </c>
      <c r="D21" s="1" t="s">
        <v>35</v>
      </c>
      <c r="O21" s="14"/>
      <c r="P21" s="4"/>
      <c r="Q21" s="15"/>
      <c r="R21" s="16"/>
      <c r="AM21" s="1" t="s">
        <v>45</v>
      </c>
      <c r="AU21" s="15"/>
      <c r="AV21" s="16"/>
      <c r="AW21" s="4"/>
      <c r="AX21" s="17"/>
      <c r="BB21" s="281" t="s">
        <v>6</v>
      </c>
      <c r="BC21" s="1" t="s">
        <v>46</v>
      </c>
    </row>
    <row r="22" spans="2:69" ht="18.75" customHeight="1" x14ac:dyDescent="0.25">
      <c r="C22" s="44" t="s">
        <v>8</v>
      </c>
      <c r="D22" s="1" t="s">
        <v>40</v>
      </c>
      <c r="O22" s="14"/>
      <c r="P22" s="4"/>
      <c r="Q22" s="15"/>
      <c r="R22" s="16"/>
      <c r="AM22" s="1" t="s">
        <v>47</v>
      </c>
      <c r="AU22" s="15"/>
      <c r="AV22" s="16"/>
      <c r="AW22" s="4"/>
      <c r="AX22" s="17"/>
      <c r="BC22" s="281" t="s">
        <v>6</v>
      </c>
      <c r="BD22" s="1" t="s">
        <v>23</v>
      </c>
      <c r="BK22" s="755" t="s">
        <v>48</v>
      </c>
      <c r="BL22" s="756"/>
      <c r="BM22" s="756"/>
      <c r="BN22" s="756"/>
      <c r="BO22" s="756"/>
      <c r="BP22" s="756"/>
      <c r="BQ22" s="757"/>
    </row>
    <row r="23" spans="2:69" ht="18.75" customHeight="1" x14ac:dyDescent="0.25">
      <c r="C23" s="44" t="s">
        <v>8</v>
      </c>
      <c r="D23" s="1" t="s">
        <v>42</v>
      </c>
      <c r="O23" s="14"/>
      <c r="P23" s="4"/>
      <c r="Q23" s="15"/>
      <c r="R23" s="16"/>
      <c r="T23" s="34" t="s">
        <v>49</v>
      </c>
      <c r="AF23" s="34" t="s">
        <v>50</v>
      </c>
      <c r="AU23" s="15"/>
      <c r="AV23" s="16"/>
      <c r="AW23" s="4"/>
      <c r="AX23" s="17"/>
      <c r="BC23" s="44" t="s">
        <v>8</v>
      </c>
      <c r="BD23" s="1" t="s">
        <v>29</v>
      </c>
      <c r="BK23" s="758"/>
      <c r="BL23" s="759"/>
      <c r="BM23" s="759"/>
      <c r="BN23" s="759"/>
      <c r="BO23" s="759"/>
      <c r="BP23" s="759"/>
      <c r="BQ23" s="760"/>
    </row>
    <row r="24" spans="2:69" ht="18.75" customHeight="1" x14ac:dyDescent="0.25">
      <c r="C24" s="44" t="s">
        <v>8</v>
      </c>
      <c r="D24" s="1" t="s">
        <v>51</v>
      </c>
      <c r="O24" s="14"/>
      <c r="P24" s="4"/>
      <c r="Q24" s="15"/>
      <c r="R24" s="16"/>
      <c r="U24" s="1" t="s">
        <v>52</v>
      </c>
      <c r="Z24" s="5" t="s">
        <v>53</v>
      </c>
      <c r="AG24" s="1" t="s">
        <v>54</v>
      </c>
      <c r="AU24" s="15"/>
      <c r="AV24" s="16"/>
      <c r="AW24" s="4"/>
      <c r="AX24" s="17"/>
      <c r="BC24" s="44" t="s">
        <v>8</v>
      </c>
      <c r="BD24" s="1" t="s">
        <v>35</v>
      </c>
      <c r="BK24" s="758"/>
      <c r="BL24" s="759"/>
      <c r="BM24" s="759"/>
      <c r="BN24" s="759"/>
      <c r="BO24" s="759"/>
      <c r="BP24" s="759"/>
      <c r="BQ24" s="760"/>
    </row>
    <row r="25" spans="2:69" ht="18.75" customHeight="1" x14ac:dyDescent="0.25">
      <c r="C25" s="44" t="s">
        <v>8</v>
      </c>
      <c r="D25" s="1" t="s">
        <v>55</v>
      </c>
      <c r="O25" s="14"/>
      <c r="P25" s="4"/>
      <c r="Q25" s="15"/>
      <c r="R25" s="16"/>
      <c r="U25" s="1" t="s">
        <v>56</v>
      </c>
      <c r="AA25" s="1" t="s">
        <v>57</v>
      </c>
      <c r="AG25" s="1" t="s">
        <v>58</v>
      </c>
      <c r="AU25" s="15"/>
      <c r="AV25" s="16"/>
      <c r="AW25" s="4"/>
      <c r="AX25" s="17"/>
      <c r="BC25" s="44" t="s">
        <v>8</v>
      </c>
      <c r="BD25" s="1" t="s">
        <v>40</v>
      </c>
      <c r="BK25" s="761"/>
      <c r="BL25" s="762"/>
      <c r="BM25" s="762"/>
      <c r="BN25" s="762"/>
      <c r="BO25" s="762"/>
      <c r="BP25" s="762"/>
      <c r="BQ25" s="763"/>
    </row>
    <row r="26" spans="2:69" ht="18.75" customHeight="1" x14ac:dyDescent="0.25">
      <c r="C26" s="44" t="s">
        <v>8</v>
      </c>
      <c r="D26" s="1" t="s">
        <v>59</v>
      </c>
      <c r="O26" s="14"/>
      <c r="P26" s="4"/>
      <c r="Q26" s="15"/>
      <c r="R26" s="16"/>
      <c r="U26" s="1" t="s">
        <v>60</v>
      </c>
      <c r="AG26" s="1" t="s">
        <v>61</v>
      </c>
      <c r="AU26" s="15"/>
      <c r="AV26" s="16"/>
      <c r="AW26" s="4"/>
      <c r="AX26" s="17"/>
      <c r="BC26" s="44" t="s">
        <v>8</v>
      </c>
      <c r="BD26" s="1" t="s">
        <v>42</v>
      </c>
    </row>
    <row r="27" spans="2:69" ht="18.75" customHeight="1" x14ac:dyDescent="0.25">
      <c r="C27" s="44" t="s">
        <v>8</v>
      </c>
      <c r="D27" s="1" t="s">
        <v>62</v>
      </c>
      <c r="O27" s="14"/>
      <c r="P27" s="4"/>
      <c r="R27" s="16"/>
      <c r="AP27" s="34" t="s">
        <v>37</v>
      </c>
      <c r="AU27" s="15"/>
      <c r="AV27" s="16"/>
      <c r="AW27" s="4"/>
      <c r="AX27" s="17"/>
    </row>
    <row r="28" spans="2:69" ht="18.75" customHeight="1" x14ac:dyDescent="0.25">
      <c r="C28" s="44" t="s">
        <v>8</v>
      </c>
      <c r="D28" s="1" t="s">
        <v>63</v>
      </c>
      <c r="O28" s="14"/>
      <c r="P28" s="4"/>
      <c r="R28" s="16"/>
      <c r="S28" s="1" t="s">
        <v>64</v>
      </c>
      <c r="AD28" s="34" t="s">
        <v>65</v>
      </c>
      <c r="AE28" s="34"/>
      <c r="AU28" s="15"/>
      <c r="AV28" s="16"/>
      <c r="AW28" s="4"/>
      <c r="AX28" s="17"/>
    </row>
    <row r="29" spans="2:69" ht="18.75" customHeight="1" x14ac:dyDescent="0.25">
      <c r="C29" s="44" t="s">
        <v>8</v>
      </c>
      <c r="D29" s="1" t="s">
        <v>66</v>
      </c>
      <c r="O29" s="14"/>
      <c r="P29" s="4"/>
      <c r="R29" s="16"/>
      <c r="S29" s="1" t="s">
        <v>67</v>
      </c>
      <c r="AQ29" s="1" t="s">
        <v>68</v>
      </c>
      <c r="AU29" s="15"/>
      <c r="AV29" s="16"/>
      <c r="AW29" s="4"/>
      <c r="AX29" s="17"/>
      <c r="BB29" s="1" t="s">
        <v>69</v>
      </c>
    </row>
    <row r="30" spans="2:69" ht="18.75" customHeight="1" x14ac:dyDescent="0.25">
      <c r="D30" s="44" t="s">
        <v>8</v>
      </c>
      <c r="E30" s="1" t="s">
        <v>70</v>
      </c>
      <c r="O30" s="14"/>
      <c r="P30" s="4"/>
      <c r="R30" s="16"/>
      <c r="T30" s="44" t="s">
        <v>8</v>
      </c>
      <c r="U30" s="1" t="s">
        <v>71</v>
      </c>
      <c r="AV30" s="16"/>
      <c r="AW30" s="4"/>
      <c r="AX30" s="17"/>
      <c r="BC30" s="1" t="s">
        <v>72</v>
      </c>
    </row>
    <row r="31" spans="2:69" ht="18.75" customHeight="1" x14ac:dyDescent="0.25">
      <c r="D31" s="44" t="s">
        <v>8</v>
      </c>
      <c r="E31" s="1" t="s">
        <v>73</v>
      </c>
      <c r="O31" s="14"/>
      <c r="P31" s="4"/>
      <c r="R31" s="16"/>
      <c r="T31" s="44" t="s">
        <v>8</v>
      </c>
      <c r="U31" s="1" t="s">
        <v>74</v>
      </c>
      <c r="AO31" s="34"/>
      <c r="AV31" s="16"/>
      <c r="AW31" s="4"/>
      <c r="AX31" s="17"/>
      <c r="BC31" s="1" t="s">
        <v>75</v>
      </c>
    </row>
    <row r="32" spans="2:69" ht="18.75" customHeight="1" x14ac:dyDescent="0.25">
      <c r="D32" s="44" t="s">
        <v>8</v>
      </c>
      <c r="E32" s="1" t="s">
        <v>76</v>
      </c>
      <c r="O32" s="14"/>
      <c r="P32" s="4"/>
      <c r="R32" s="16"/>
      <c r="T32" s="44" t="s">
        <v>8</v>
      </c>
      <c r="U32" s="1" t="s">
        <v>77</v>
      </c>
      <c r="AD32" s="43" t="s">
        <v>78</v>
      </c>
      <c r="AL32" s="1" t="s">
        <v>79</v>
      </c>
      <c r="AU32" s="15"/>
      <c r="AV32" s="16"/>
      <c r="AW32" s="4"/>
      <c r="AX32" s="17"/>
    </row>
    <row r="33" spans="2:55" ht="18.75" customHeight="1" x14ac:dyDescent="0.25">
      <c r="D33" s="44" t="s">
        <v>8</v>
      </c>
      <c r="E33" s="1" t="s">
        <v>80</v>
      </c>
      <c r="O33" s="14"/>
      <c r="P33" s="4"/>
      <c r="R33" s="16"/>
      <c r="T33" s="281" t="s">
        <v>6</v>
      </c>
      <c r="U33" s="196" t="s">
        <v>81</v>
      </c>
      <c r="AE33" s="1" t="s">
        <v>82</v>
      </c>
      <c r="AM33" s="1" t="s">
        <v>83</v>
      </c>
      <c r="AU33" s="15"/>
      <c r="AV33" s="16"/>
      <c r="AW33" s="4"/>
      <c r="AX33" s="17"/>
      <c r="BB33" s="1" t="s">
        <v>84</v>
      </c>
    </row>
    <row r="34" spans="2:55" ht="18.75" customHeight="1" x14ac:dyDescent="0.25">
      <c r="D34" s="44" t="s">
        <v>8</v>
      </c>
      <c r="E34" s="1" t="s">
        <v>85</v>
      </c>
      <c r="O34" s="14"/>
      <c r="P34" s="4"/>
      <c r="R34" s="16"/>
      <c r="T34" s="44" t="s">
        <v>8</v>
      </c>
      <c r="U34" s="1" t="s">
        <v>86</v>
      </c>
      <c r="AE34" s="1" t="s">
        <v>29</v>
      </c>
      <c r="AM34" s="1" t="s">
        <v>15</v>
      </c>
      <c r="AU34" s="15"/>
      <c r="AV34" s="16"/>
      <c r="AW34" s="4"/>
      <c r="AX34" s="17"/>
      <c r="BC34" s="1" t="s">
        <v>87</v>
      </c>
    </row>
    <row r="35" spans="2:55" ht="18.75" customHeight="1" thickBot="1" x14ac:dyDescent="0.3">
      <c r="D35" s="44" t="s">
        <v>8</v>
      </c>
      <c r="E35" s="1" t="s">
        <v>88</v>
      </c>
      <c r="O35" s="18"/>
      <c r="P35" s="26"/>
      <c r="Q35" s="19"/>
      <c r="R35" s="20"/>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2"/>
      <c r="AV35" s="23"/>
      <c r="AW35" s="26"/>
      <c r="AX35" s="24"/>
      <c r="BC35" s="1" t="s">
        <v>89</v>
      </c>
    </row>
    <row r="36" spans="2:55" ht="18.75" customHeight="1" thickTop="1" x14ac:dyDescent="0.25">
      <c r="D36" s="44" t="s">
        <v>8</v>
      </c>
      <c r="E36" s="1" t="s">
        <v>90</v>
      </c>
      <c r="O36" s="746" t="s">
        <v>91</v>
      </c>
      <c r="P36" s="747"/>
      <c r="Q36" s="748"/>
      <c r="AH36" s="3" t="s">
        <v>3</v>
      </c>
      <c r="AV36" s="746" t="s">
        <v>91</v>
      </c>
      <c r="AW36" s="747"/>
      <c r="AX36" s="748"/>
      <c r="AY36" s="197"/>
    </row>
    <row r="37" spans="2:55" ht="18.75" customHeight="1" x14ac:dyDescent="0.25">
      <c r="O37" s="749"/>
      <c r="P37" s="750"/>
      <c r="Q37" s="751"/>
      <c r="S37" s="1" t="s">
        <v>92</v>
      </c>
      <c r="AV37" s="749"/>
      <c r="AW37" s="750"/>
      <c r="AX37" s="751"/>
      <c r="AY37" s="197"/>
    </row>
    <row r="38" spans="2:55" ht="18.75" customHeight="1" x14ac:dyDescent="0.25">
      <c r="B38" s="1" t="s">
        <v>93</v>
      </c>
      <c r="O38" s="749"/>
      <c r="P38" s="750"/>
      <c r="Q38" s="751"/>
      <c r="T38" s="1" t="s">
        <v>94</v>
      </c>
      <c r="AV38" s="749"/>
      <c r="AW38" s="750"/>
      <c r="AX38" s="751"/>
      <c r="AY38" s="197"/>
    </row>
    <row r="39" spans="2:55" ht="18.75" customHeight="1" x14ac:dyDescent="0.25">
      <c r="O39" s="749"/>
      <c r="P39" s="750"/>
      <c r="Q39" s="751"/>
      <c r="T39" s="1" t="s">
        <v>95</v>
      </c>
      <c r="AV39" s="749"/>
      <c r="AW39" s="750"/>
      <c r="AX39" s="751"/>
      <c r="AY39" s="197"/>
    </row>
    <row r="40" spans="2:55" ht="18.75" customHeight="1" thickBot="1" x14ac:dyDescent="0.3">
      <c r="O40" s="752"/>
      <c r="P40" s="753"/>
      <c r="Q40" s="754"/>
      <c r="AV40" s="752"/>
      <c r="AW40" s="753"/>
      <c r="AX40" s="754"/>
      <c r="AY40" s="197"/>
    </row>
    <row r="41" spans="2:55" ht="18.75" customHeight="1" thickTop="1" x14ac:dyDescent="0.25"/>
    <row r="42" spans="2:55" ht="18.75" customHeight="1" x14ac:dyDescent="0.25"/>
    <row r="43" spans="2:55" ht="18.75" customHeight="1" x14ac:dyDescent="0.25"/>
    <row r="44" spans="2:55" ht="18.75" customHeight="1" x14ac:dyDescent="0.25"/>
    <row r="45" spans="2:55" ht="18.75" customHeight="1" x14ac:dyDescent="0.25"/>
    <row r="46" spans="2:55" ht="18.75" customHeight="1" x14ac:dyDescent="0.25"/>
    <row r="47" spans="2:55" ht="18.75" customHeight="1" x14ac:dyDescent="0.25"/>
    <row r="48" spans="2:55"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sheetData>
  <mergeCells count="5">
    <mergeCell ref="O36:Q40"/>
    <mergeCell ref="AV36:AX40"/>
    <mergeCell ref="BK15:BQ18"/>
    <mergeCell ref="BK22:BQ25"/>
    <mergeCell ref="A1:C3"/>
  </mergeCells>
  <printOptions horizontalCentered="1" verticalCentered="1"/>
  <pageMargins left="0.5" right="0.5" top="0.75" bottom="0.75" header="0.3" footer="0.3"/>
  <pageSetup scale="43"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DCA3-CB50-4BAD-AB5E-519099EA939F}">
  <dimension ref="A1:BF166"/>
  <sheetViews>
    <sheetView topLeftCell="A60" workbookViewId="0">
      <selection activeCell="AC3" sqref="AC3"/>
    </sheetView>
  </sheetViews>
  <sheetFormatPr defaultColWidth="9.140625" defaultRowHeight="15" x14ac:dyDescent="0.25"/>
  <cols>
    <col min="1" max="3" width="4.85546875" customWidth="1"/>
    <col min="4" max="14" width="3.5703125" customWidth="1"/>
    <col min="15" max="17" width="4" customWidth="1"/>
    <col min="18" max="44" width="3.42578125" customWidth="1"/>
    <col min="45" max="47" width="4" customWidth="1"/>
    <col min="48" max="67" width="3.5703125" customWidth="1"/>
    <col min="68" max="68" width="6.140625" customWidth="1"/>
  </cols>
  <sheetData>
    <row r="1" spans="1:33" s="1" customFormat="1" ht="36" x14ac:dyDescent="0.25">
      <c r="A1" s="722" t="s">
        <v>1189</v>
      </c>
      <c r="B1" s="723"/>
      <c r="C1" s="724"/>
      <c r="D1" s="33" t="s">
        <v>1188</v>
      </c>
    </row>
    <row r="2" spans="1:33" s="1" customFormat="1" ht="23.25" x14ac:dyDescent="0.25">
      <c r="A2" s="725"/>
      <c r="B2" s="726"/>
      <c r="C2" s="727"/>
      <c r="G2" s="337" t="s">
        <v>1185</v>
      </c>
    </row>
    <row r="3" spans="1:33" s="1" customFormat="1" x14ac:dyDescent="0.25">
      <c r="A3" s="728"/>
      <c r="B3" s="729"/>
      <c r="C3" s="730"/>
    </row>
    <row r="4" spans="1:33" s="1" customFormat="1" ht="31.5" x14ac:dyDescent="0.25">
      <c r="F4" s="35" t="s">
        <v>1190</v>
      </c>
    </row>
    <row r="5" spans="1:33" s="1" customFormat="1" ht="26.25" x14ac:dyDescent="0.25">
      <c r="N5" s="47" t="s">
        <v>1191</v>
      </c>
    </row>
    <row r="6" spans="1:33" s="1" customFormat="1" ht="18.75" customHeight="1" x14ac:dyDescent="0.25">
      <c r="O6" s="2"/>
    </row>
    <row r="7" spans="1:33" ht="21" x14ac:dyDescent="0.35">
      <c r="A7" s="49" t="s">
        <v>1192</v>
      </c>
    </row>
    <row r="8" spans="1:33" x14ac:dyDescent="0.25">
      <c r="A8" s="1"/>
      <c r="B8" s="1"/>
      <c r="C8" s="1"/>
      <c r="D8" s="1"/>
      <c r="E8" s="1"/>
      <c r="F8" s="1"/>
      <c r="G8" s="1"/>
      <c r="H8" s="1"/>
    </row>
    <row r="9" spans="1:33" ht="26.25" x14ac:dyDescent="0.35">
      <c r="A9" s="1"/>
      <c r="B9" s="338" t="s">
        <v>1193</v>
      </c>
      <c r="C9" s="1"/>
      <c r="D9" s="1"/>
      <c r="E9" s="1"/>
      <c r="F9" s="1"/>
      <c r="G9" s="1"/>
      <c r="H9" s="1"/>
      <c r="R9" s="49" t="s">
        <v>1194</v>
      </c>
      <c r="AG9" s="49" t="s">
        <v>1195</v>
      </c>
    </row>
    <row r="10" spans="1:33" ht="23.25" x14ac:dyDescent="0.35">
      <c r="A10" s="1"/>
      <c r="B10" s="1"/>
      <c r="C10" s="339" t="s">
        <v>1196</v>
      </c>
      <c r="D10" s="25"/>
      <c r="E10" s="25"/>
      <c r="F10" s="25"/>
      <c r="G10" s="25"/>
      <c r="H10" s="25"/>
      <c r="I10" s="46" t="s">
        <v>1197</v>
      </c>
      <c r="J10" s="46"/>
    </row>
    <row r="11" spans="1:33" ht="18.75" x14ac:dyDescent="0.3">
      <c r="A11" s="1"/>
      <c r="B11" s="1"/>
      <c r="C11" s="46"/>
      <c r="D11" s="25" t="s">
        <v>1198</v>
      </c>
      <c r="E11" s="25"/>
      <c r="F11" s="25"/>
      <c r="H11" s="25"/>
      <c r="I11" s="46"/>
      <c r="J11" s="46"/>
      <c r="M11" s="46" t="s">
        <v>1199</v>
      </c>
    </row>
    <row r="12" spans="1:33" ht="18.75" x14ac:dyDescent="0.3">
      <c r="A12" s="1"/>
      <c r="B12" s="1"/>
      <c r="C12" s="46"/>
      <c r="D12" s="46" t="s">
        <v>1200</v>
      </c>
      <c r="E12" s="46"/>
      <c r="F12" s="46"/>
      <c r="H12" s="25"/>
      <c r="I12" s="46"/>
      <c r="J12" s="46"/>
    </row>
    <row r="13" spans="1:33" ht="18.75" x14ac:dyDescent="0.3">
      <c r="A13" s="1"/>
      <c r="B13" s="1"/>
      <c r="C13" s="46"/>
      <c r="D13" s="25" t="s">
        <v>1201</v>
      </c>
      <c r="E13" s="25"/>
      <c r="F13" s="25"/>
      <c r="H13" s="46"/>
      <c r="I13" s="46"/>
      <c r="J13" s="46"/>
    </row>
    <row r="14" spans="1:33" ht="18.75" x14ac:dyDescent="0.3">
      <c r="A14" s="1"/>
      <c r="B14" s="1"/>
      <c r="C14" s="46"/>
      <c r="D14" s="25" t="s">
        <v>1202</v>
      </c>
      <c r="E14" s="25"/>
      <c r="F14" s="25"/>
      <c r="H14" s="25"/>
      <c r="I14" s="46"/>
      <c r="J14" s="46"/>
    </row>
    <row r="15" spans="1:33" ht="18.75" x14ac:dyDescent="0.3">
      <c r="A15" s="1"/>
      <c r="B15" s="1"/>
      <c r="C15" s="46"/>
      <c r="D15" s="25"/>
      <c r="E15" s="25" t="s">
        <v>1203</v>
      </c>
      <c r="F15" s="25"/>
      <c r="H15" s="25"/>
      <c r="I15" s="46"/>
      <c r="J15" s="46"/>
    </row>
    <row r="16" spans="1:33" ht="18.75" x14ac:dyDescent="0.3">
      <c r="A16" s="1"/>
      <c r="B16" s="1"/>
      <c r="C16" s="46"/>
      <c r="D16" s="46"/>
      <c r="E16" s="25" t="s">
        <v>1204</v>
      </c>
      <c r="F16" s="25"/>
      <c r="H16" s="25"/>
      <c r="I16" s="46"/>
      <c r="J16" s="46"/>
    </row>
    <row r="17" spans="1:49" ht="18.75" x14ac:dyDescent="0.3">
      <c r="A17" s="1"/>
      <c r="B17" s="1"/>
      <c r="C17" s="46"/>
      <c r="D17" s="46"/>
      <c r="E17" s="25" t="s">
        <v>1205</v>
      </c>
      <c r="F17" s="25"/>
      <c r="H17" s="25"/>
      <c r="I17" s="46"/>
      <c r="J17" s="46"/>
    </row>
    <row r="18" spans="1:49" ht="18.75" x14ac:dyDescent="0.3">
      <c r="A18" s="1"/>
      <c r="B18" s="1"/>
      <c r="C18" s="46"/>
      <c r="D18" s="46"/>
      <c r="E18" s="25" t="s">
        <v>1206</v>
      </c>
      <c r="F18" s="25"/>
      <c r="H18" s="25"/>
      <c r="I18" s="46"/>
      <c r="J18" s="46"/>
    </row>
    <row r="19" spans="1:49" ht="18.75" x14ac:dyDescent="0.3">
      <c r="A19" s="1"/>
      <c r="B19" s="25"/>
      <c r="C19" s="46"/>
      <c r="D19" s="46"/>
      <c r="E19" s="46"/>
      <c r="F19" s="46"/>
      <c r="G19" s="46"/>
      <c r="H19" s="25"/>
      <c r="I19" s="46"/>
      <c r="J19" s="46"/>
      <c r="K19" s="46"/>
      <c r="L19" s="46"/>
    </row>
    <row r="20" spans="1:49" ht="18.75" x14ac:dyDescent="0.3">
      <c r="B20" s="46"/>
      <c r="C20" s="46"/>
      <c r="D20" s="46"/>
      <c r="E20" s="46"/>
      <c r="F20" s="46"/>
      <c r="G20" s="46"/>
      <c r="H20" s="46"/>
      <c r="I20" s="46"/>
      <c r="J20" s="46"/>
      <c r="K20" s="46"/>
      <c r="L20" s="46"/>
    </row>
    <row r="21" spans="1:49" ht="18.75" x14ac:dyDescent="0.3">
      <c r="B21" s="46"/>
      <c r="C21" s="46"/>
      <c r="D21" s="46"/>
      <c r="E21" s="46"/>
      <c r="F21" s="46"/>
      <c r="G21" s="46"/>
      <c r="H21" s="46"/>
      <c r="I21" s="46"/>
      <c r="J21" s="46"/>
      <c r="K21" s="46"/>
      <c r="L21" s="46"/>
    </row>
    <row r="22" spans="1:49" ht="26.25" x14ac:dyDescent="0.4">
      <c r="B22" s="46"/>
      <c r="C22" s="340" t="s">
        <v>1207</v>
      </c>
      <c r="D22" s="46"/>
      <c r="E22" s="46"/>
      <c r="F22" s="46"/>
      <c r="G22" s="46"/>
      <c r="H22" s="46"/>
      <c r="I22" s="46" t="s">
        <v>126</v>
      </c>
      <c r="J22" s="46"/>
    </row>
    <row r="23" spans="1:49" ht="18.75" x14ac:dyDescent="0.3">
      <c r="B23" s="46"/>
      <c r="C23" s="46"/>
      <c r="D23" s="46" t="s">
        <v>1208</v>
      </c>
      <c r="E23" s="46"/>
      <c r="F23" s="46"/>
      <c r="G23" s="46"/>
      <c r="H23" s="46"/>
      <c r="I23" s="46"/>
      <c r="J23" s="46"/>
    </row>
    <row r="24" spans="1:49" ht="18.75" x14ac:dyDescent="0.3">
      <c r="B24" s="46"/>
      <c r="C24" s="46"/>
      <c r="D24" s="46"/>
      <c r="E24" s="25" t="s">
        <v>1209</v>
      </c>
      <c r="F24" s="46"/>
      <c r="G24" s="46"/>
      <c r="H24" s="46"/>
    </row>
    <row r="25" spans="1:49" ht="21" x14ac:dyDescent="0.35">
      <c r="B25" s="46"/>
      <c r="C25" s="46"/>
      <c r="F25" s="46" t="s">
        <v>1210</v>
      </c>
      <c r="G25" s="46"/>
      <c r="H25" s="46"/>
      <c r="AB25" s="49" t="s">
        <v>1211</v>
      </c>
      <c r="AW25" s="49" t="s">
        <v>1212</v>
      </c>
    </row>
    <row r="26" spans="1:49" ht="18.75" x14ac:dyDescent="0.3">
      <c r="B26" s="46"/>
      <c r="C26" s="46"/>
      <c r="E26" s="46"/>
      <c r="F26" s="25" t="s">
        <v>1198</v>
      </c>
      <c r="G26" s="46"/>
      <c r="H26" s="46"/>
    </row>
    <row r="27" spans="1:49" ht="18.75" x14ac:dyDescent="0.3">
      <c r="B27" s="46"/>
      <c r="C27" s="46"/>
      <c r="D27" s="46"/>
      <c r="E27" s="46"/>
      <c r="F27" s="46"/>
      <c r="G27" s="46" t="s">
        <v>1213</v>
      </c>
      <c r="H27" s="46"/>
    </row>
    <row r="28" spans="1:49" ht="18.75" x14ac:dyDescent="0.3">
      <c r="B28" s="46"/>
      <c r="C28" s="46"/>
      <c r="D28" s="46"/>
      <c r="E28" s="46"/>
      <c r="G28" s="46" t="s">
        <v>1214</v>
      </c>
      <c r="H28" s="46"/>
    </row>
    <row r="29" spans="1:49" ht="18.75" x14ac:dyDescent="0.3">
      <c r="B29" s="46"/>
      <c r="D29" s="25"/>
      <c r="E29" s="25"/>
      <c r="F29" s="46"/>
      <c r="G29" s="46" t="s">
        <v>1215</v>
      </c>
      <c r="H29" s="46"/>
      <c r="I29" s="46"/>
      <c r="J29" s="46"/>
      <c r="K29" s="46"/>
      <c r="O29" s="341" t="s">
        <v>1216</v>
      </c>
    </row>
    <row r="30" spans="1:49" ht="18.75" x14ac:dyDescent="0.3">
      <c r="B30" s="46"/>
      <c r="C30" s="25"/>
      <c r="D30" s="25"/>
      <c r="E30" s="25"/>
      <c r="F30" s="46"/>
      <c r="G30" s="46" t="s">
        <v>1217</v>
      </c>
      <c r="H30" s="46"/>
      <c r="I30" s="46"/>
      <c r="J30" s="46"/>
      <c r="K30" s="46"/>
    </row>
    <row r="31" spans="1:49" ht="18.75" x14ac:dyDescent="0.3">
      <c r="B31" s="46"/>
      <c r="C31" s="25"/>
      <c r="D31" s="25"/>
      <c r="E31" s="25"/>
      <c r="F31" s="46"/>
      <c r="G31" s="46" t="s">
        <v>1218</v>
      </c>
      <c r="H31" s="46"/>
      <c r="I31" s="46"/>
      <c r="J31" s="46"/>
      <c r="K31" s="46"/>
      <c r="N31" s="25"/>
    </row>
    <row r="32" spans="1:49" ht="18.75" x14ac:dyDescent="0.3">
      <c r="B32" s="46"/>
      <c r="C32" s="25"/>
      <c r="D32" s="46"/>
      <c r="E32" s="46"/>
      <c r="F32" s="46"/>
      <c r="G32" s="46" t="s">
        <v>1219</v>
      </c>
      <c r="H32" s="46"/>
      <c r="I32" s="46"/>
      <c r="J32" s="46"/>
      <c r="K32" s="46"/>
    </row>
    <row r="33" spans="2:49" ht="18.75" x14ac:dyDescent="0.3">
      <c r="B33" s="46"/>
      <c r="C33" s="25"/>
      <c r="D33" s="25"/>
      <c r="E33" s="46"/>
      <c r="F33" s="46"/>
      <c r="G33" s="46" t="s">
        <v>1220</v>
      </c>
      <c r="H33" s="46"/>
      <c r="I33" s="46"/>
      <c r="J33" s="46"/>
      <c r="K33" s="46"/>
    </row>
    <row r="34" spans="2:49" ht="18.75" x14ac:dyDescent="0.3">
      <c r="B34" s="46"/>
      <c r="C34" s="25"/>
      <c r="D34" s="25"/>
      <c r="E34" s="46"/>
      <c r="F34" s="46"/>
      <c r="G34" s="46" t="s">
        <v>1200</v>
      </c>
      <c r="H34" s="46"/>
      <c r="I34" s="46"/>
      <c r="J34" s="46"/>
      <c r="K34" s="46"/>
    </row>
    <row r="35" spans="2:49" ht="18.75" x14ac:dyDescent="0.3">
      <c r="B35" s="46"/>
      <c r="C35" s="25"/>
      <c r="D35" s="25"/>
      <c r="E35" s="46"/>
      <c r="F35" s="46"/>
      <c r="G35" s="46"/>
      <c r="H35" s="46" t="s">
        <v>1221</v>
      </c>
      <c r="J35" s="46"/>
      <c r="K35" s="46"/>
    </row>
    <row r="36" spans="2:49" ht="18.75" x14ac:dyDescent="0.3">
      <c r="B36" s="46"/>
      <c r="D36" s="25"/>
      <c r="E36" s="46"/>
      <c r="F36" s="46"/>
      <c r="G36" s="46"/>
      <c r="H36" s="46" t="s">
        <v>1222</v>
      </c>
      <c r="I36" s="46"/>
      <c r="J36" s="46"/>
      <c r="K36" s="46"/>
    </row>
    <row r="37" spans="2:49" ht="18.75" x14ac:dyDescent="0.3">
      <c r="B37" s="46"/>
      <c r="C37" s="25"/>
      <c r="D37" s="25"/>
      <c r="E37" s="46"/>
      <c r="F37" s="46"/>
      <c r="G37" s="46"/>
      <c r="H37" s="46"/>
      <c r="I37" s="46"/>
      <c r="J37" s="46"/>
      <c r="K37" s="46"/>
    </row>
    <row r="38" spans="2:49" ht="18.75" x14ac:dyDescent="0.3">
      <c r="B38" s="46"/>
      <c r="D38" s="25"/>
      <c r="E38" s="46"/>
      <c r="F38" s="46"/>
      <c r="G38" s="342" t="s">
        <v>1223</v>
      </c>
      <c r="H38" s="46"/>
      <c r="I38" s="46"/>
      <c r="J38" s="46"/>
      <c r="K38" s="46"/>
      <c r="N38" s="343" t="s">
        <v>1224</v>
      </c>
    </row>
    <row r="39" spans="2:49" ht="18.75" x14ac:dyDescent="0.3">
      <c r="B39" s="46"/>
      <c r="D39" s="46"/>
      <c r="E39" s="46"/>
      <c r="F39" s="46"/>
      <c r="G39" s="46"/>
      <c r="H39" s="344" t="s">
        <v>1225</v>
      </c>
      <c r="I39" s="344"/>
      <c r="J39" s="344"/>
      <c r="K39" s="344"/>
      <c r="L39" s="345"/>
      <c r="M39" s="345"/>
      <c r="N39" s="345"/>
      <c r="O39" s="345"/>
    </row>
    <row r="40" spans="2:49" ht="18.75" x14ac:dyDescent="0.3">
      <c r="B40" s="46"/>
      <c r="D40" s="46"/>
      <c r="E40" s="46"/>
      <c r="F40" s="46"/>
      <c r="G40" s="46"/>
      <c r="H40" s="46" t="s">
        <v>1226</v>
      </c>
      <c r="I40" s="46"/>
      <c r="J40" s="46"/>
      <c r="K40" s="46"/>
    </row>
    <row r="41" spans="2:49" ht="18.75" x14ac:dyDescent="0.3">
      <c r="B41" s="46"/>
      <c r="D41" s="46"/>
      <c r="E41" s="46"/>
      <c r="F41" s="46"/>
      <c r="G41" s="46"/>
      <c r="H41" s="46" t="s">
        <v>1124</v>
      </c>
      <c r="I41" s="46"/>
      <c r="J41" s="46"/>
      <c r="K41" s="46"/>
    </row>
    <row r="42" spans="2:49" ht="18.75" x14ac:dyDescent="0.3">
      <c r="B42" s="46"/>
      <c r="D42" s="46"/>
      <c r="E42" s="46"/>
      <c r="F42" s="46"/>
      <c r="G42" s="46"/>
      <c r="H42" s="46" t="s">
        <v>1227</v>
      </c>
      <c r="I42" s="46"/>
      <c r="J42" s="46"/>
      <c r="K42" s="46"/>
    </row>
    <row r="43" spans="2:49" ht="18.75" x14ac:dyDescent="0.3">
      <c r="B43" s="46"/>
      <c r="D43" s="46"/>
      <c r="E43" s="46"/>
      <c r="F43" s="46"/>
      <c r="G43" s="46"/>
      <c r="H43" s="46" t="s">
        <v>1228</v>
      </c>
      <c r="I43" s="46"/>
      <c r="J43" s="46"/>
      <c r="K43" s="46"/>
    </row>
    <row r="44" spans="2:49" ht="18.75" x14ac:dyDescent="0.3">
      <c r="B44" s="46"/>
      <c r="C44" s="46"/>
      <c r="D44" s="46"/>
      <c r="E44" s="46"/>
      <c r="F44" s="46"/>
      <c r="G44" s="46"/>
      <c r="H44" s="46" t="s">
        <v>1229</v>
      </c>
      <c r="I44" s="46"/>
      <c r="J44" s="46"/>
      <c r="K44" s="46"/>
    </row>
    <row r="45" spans="2:49" ht="18.75" x14ac:dyDescent="0.3">
      <c r="E45" s="46"/>
      <c r="F45" s="46"/>
      <c r="G45" s="46"/>
      <c r="H45" s="46"/>
      <c r="I45" s="46"/>
      <c r="J45" s="46"/>
      <c r="K45" s="46"/>
    </row>
    <row r="46" spans="2:49" ht="21" x14ac:dyDescent="0.35">
      <c r="E46" s="46"/>
      <c r="F46" s="46"/>
      <c r="G46" s="46" t="s">
        <v>1200</v>
      </c>
      <c r="H46" s="46"/>
      <c r="I46" s="46"/>
      <c r="J46" s="46"/>
      <c r="K46" s="46"/>
      <c r="Q46" s="49" t="s">
        <v>1230</v>
      </c>
      <c r="AC46" s="49" t="s">
        <v>1231</v>
      </c>
      <c r="AW46" s="49" t="s">
        <v>1232</v>
      </c>
    </row>
    <row r="47" spans="2:49" ht="18.75" x14ac:dyDescent="0.3">
      <c r="E47" s="46"/>
      <c r="F47" s="46"/>
      <c r="G47" s="46"/>
      <c r="H47" s="46" t="s">
        <v>1221</v>
      </c>
      <c r="J47" s="46"/>
      <c r="K47" s="46"/>
    </row>
    <row r="48" spans="2:49" ht="18.75" x14ac:dyDescent="0.3">
      <c r="F48" s="46"/>
      <c r="G48" s="46"/>
      <c r="H48" s="46" t="s">
        <v>1222</v>
      </c>
      <c r="I48" s="46"/>
      <c r="J48" s="46"/>
      <c r="K48" s="46"/>
    </row>
    <row r="49" spans="1:23" ht="18.75" x14ac:dyDescent="0.3">
      <c r="F49" s="46" t="s">
        <v>1233</v>
      </c>
      <c r="G49" s="46"/>
      <c r="H49" s="46"/>
      <c r="I49" s="46"/>
      <c r="J49" s="46"/>
      <c r="K49" s="46"/>
    </row>
    <row r="50" spans="1:23" ht="18.75" x14ac:dyDescent="0.3">
      <c r="F50" s="46" t="s">
        <v>1234</v>
      </c>
      <c r="G50" s="46"/>
      <c r="H50" s="46"/>
      <c r="I50" s="46"/>
      <c r="J50" s="46"/>
      <c r="K50" s="46"/>
    </row>
    <row r="51" spans="1:23" ht="18.75" x14ac:dyDescent="0.3">
      <c r="E51" s="25" t="s">
        <v>1235</v>
      </c>
      <c r="F51" s="46"/>
      <c r="G51" s="46"/>
      <c r="H51" s="46"/>
      <c r="I51" s="46"/>
      <c r="J51" s="46"/>
      <c r="K51" s="46"/>
    </row>
    <row r="52" spans="1:23" ht="18.75" x14ac:dyDescent="0.3">
      <c r="D52" s="46" t="s">
        <v>1236</v>
      </c>
      <c r="F52" s="46"/>
      <c r="G52" s="46"/>
      <c r="H52" s="46"/>
      <c r="I52" s="46"/>
      <c r="J52" s="46"/>
      <c r="K52" s="46"/>
    </row>
    <row r="56" spans="1:23" ht="18.75" x14ac:dyDescent="0.3">
      <c r="A56" s="46"/>
      <c r="B56" s="46"/>
      <c r="C56" s="46"/>
      <c r="E56" s="46"/>
      <c r="F56" s="46"/>
      <c r="G56" s="46"/>
      <c r="H56" s="46"/>
      <c r="I56" s="46"/>
      <c r="J56" s="46"/>
      <c r="K56" s="46"/>
      <c r="L56" s="46"/>
      <c r="M56" s="46"/>
      <c r="N56" s="46"/>
      <c r="O56" s="46"/>
    </row>
    <row r="57" spans="1:23" ht="21" x14ac:dyDescent="0.35">
      <c r="A57" s="46"/>
      <c r="B57" s="46"/>
      <c r="C57" s="49" t="s">
        <v>1237</v>
      </c>
      <c r="D57" s="46"/>
      <c r="E57" s="46"/>
      <c r="F57" s="46"/>
      <c r="G57" s="46"/>
      <c r="H57" s="46"/>
      <c r="I57" s="46"/>
      <c r="J57" s="46"/>
      <c r="K57" s="46"/>
      <c r="L57" s="46"/>
      <c r="M57" s="46"/>
      <c r="N57" s="46"/>
      <c r="O57" s="46"/>
    </row>
    <row r="58" spans="1:23" ht="18.75" x14ac:dyDescent="0.3">
      <c r="A58" s="46"/>
      <c r="B58" s="46"/>
      <c r="D58" s="46"/>
      <c r="E58" s="46"/>
      <c r="F58" s="46"/>
      <c r="G58" s="46"/>
      <c r="H58" s="46"/>
      <c r="I58" s="46"/>
      <c r="J58" s="46"/>
      <c r="K58" s="46"/>
      <c r="L58" s="46"/>
      <c r="M58" s="46"/>
      <c r="N58" s="46"/>
      <c r="O58" s="46"/>
    </row>
    <row r="59" spans="1:23" ht="21" x14ac:dyDescent="0.35">
      <c r="A59" s="46"/>
      <c r="B59" s="46"/>
      <c r="C59" s="46"/>
      <c r="D59" s="46"/>
      <c r="E59" s="46"/>
      <c r="F59" s="46"/>
      <c r="G59" s="46"/>
      <c r="H59" s="46"/>
      <c r="I59" s="46"/>
      <c r="J59" s="46"/>
      <c r="K59" s="46"/>
      <c r="L59" s="46"/>
      <c r="M59" s="46"/>
      <c r="N59" s="46"/>
      <c r="O59" s="46"/>
      <c r="W59" s="49" t="s">
        <v>1238</v>
      </c>
    </row>
    <row r="60" spans="1:23" ht="18.75" x14ac:dyDescent="0.3">
      <c r="A60" s="46"/>
      <c r="B60" s="46"/>
      <c r="C60" s="25"/>
      <c r="D60" s="46"/>
      <c r="E60" s="46"/>
      <c r="F60" s="46"/>
      <c r="G60" s="46"/>
      <c r="H60" s="46"/>
      <c r="I60" s="46"/>
      <c r="J60" s="46"/>
      <c r="K60" s="46"/>
      <c r="L60" s="46"/>
      <c r="M60" s="46"/>
      <c r="N60" s="46"/>
      <c r="O60" s="46"/>
    </row>
    <row r="61" spans="1:23" ht="18.75" x14ac:dyDescent="0.3">
      <c r="A61" s="46"/>
      <c r="B61" s="46"/>
      <c r="D61" s="46"/>
      <c r="E61" s="46"/>
      <c r="F61" s="46"/>
      <c r="G61" s="46"/>
      <c r="H61" s="46"/>
      <c r="I61" s="46"/>
      <c r="J61" s="46"/>
      <c r="K61" s="46"/>
      <c r="L61" s="46"/>
      <c r="M61" s="46"/>
      <c r="N61" s="46"/>
      <c r="O61" s="46"/>
    </row>
    <row r="62" spans="1:23" ht="18.75" x14ac:dyDescent="0.3">
      <c r="A62" s="46"/>
      <c r="B62" s="46"/>
      <c r="D62" s="46"/>
      <c r="E62" s="46"/>
      <c r="F62" s="46"/>
      <c r="G62" s="46"/>
      <c r="H62" s="46"/>
      <c r="I62" s="46"/>
      <c r="J62" s="46"/>
      <c r="K62" s="46"/>
      <c r="L62" s="46"/>
      <c r="M62" s="46"/>
      <c r="N62" s="46"/>
      <c r="O62" s="46"/>
    </row>
    <row r="63" spans="1:23" ht="18.75" x14ac:dyDescent="0.3">
      <c r="A63" s="46"/>
      <c r="B63" s="46"/>
      <c r="C63" s="46"/>
      <c r="D63" s="46"/>
      <c r="F63" s="46"/>
      <c r="G63" s="46"/>
      <c r="H63" s="46"/>
      <c r="I63" s="46"/>
      <c r="J63" s="46"/>
      <c r="K63" s="46"/>
      <c r="L63" s="46"/>
      <c r="M63" s="46"/>
      <c r="N63" s="46"/>
      <c r="O63" s="46"/>
    </row>
    <row r="64" spans="1:23" ht="18.75" x14ac:dyDescent="0.3">
      <c r="A64" s="46"/>
      <c r="C64" s="46"/>
      <c r="D64" s="46"/>
      <c r="F64" s="46"/>
      <c r="G64" s="46"/>
      <c r="H64" s="46"/>
      <c r="I64" s="46"/>
      <c r="J64" s="46"/>
      <c r="K64" s="46"/>
      <c r="L64" s="46"/>
      <c r="M64" s="46"/>
      <c r="N64" s="46"/>
      <c r="O64" s="46"/>
    </row>
    <row r="65" spans="1:15" ht="18.75" x14ac:dyDescent="0.3">
      <c r="A65" s="46"/>
      <c r="C65" s="46"/>
      <c r="D65" s="46"/>
      <c r="F65" s="46"/>
      <c r="G65" s="46"/>
      <c r="H65" s="46"/>
      <c r="I65" s="46"/>
      <c r="J65" s="46"/>
      <c r="K65" s="46"/>
      <c r="L65" s="46"/>
      <c r="M65" s="46"/>
      <c r="N65" s="46"/>
      <c r="O65" s="46"/>
    </row>
    <row r="66" spans="1:15" ht="18.75" x14ac:dyDescent="0.3">
      <c r="A66" s="46"/>
      <c r="B66" s="46"/>
      <c r="C66" s="46"/>
      <c r="D66" s="46"/>
      <c r="E66" s="46"/>
      <c r="F66" s="46"/>
      <c r="G66" s="46"/>
      <c r="H66" s="46"/>
      <c r="I66" s="46"/>
      <c r="J66" s="46"/>
      <c r="K66" s="46"/>
      <c r="L66" s="46"/>
      <c r="M66" s="46"/>
      <c r="N66" s="46"/>
      <c r="O66" s="46"/>
    </row>
    <row r="67" spans="1:15" ht="18.75" x14ac:dyDescent="0.3">
      <c r="A67" s="46"/>
      <c r="B67" s="46"/>
      <c r="C67" s="46"/>
      <c r="D67" s="46"/>
      <c r="E67" s="46"/>
      <c r="F67" s="46"/>
      <c r="G67" s="46"/>
      <c r="H67" s="46"/>
      <c r="I67" s="46"/>
      <c r="J67" s="46"/>
      <c r="K67" s="46"/>
      <c r="L67" s="46"/>
      <c r="M67" s="46"/>
      <c r="N67" s="46"/>
      <c r="O67" s="46"/>
    </row>
    <row r="68" spans="1:15" ht="18.75" x14ac:dyDescent="0.3">
      <c r="A68" s="46"/>
      <c r="B68" s="46"/>
      <c r="C68" s="46"/>
      <c r="D68" s="46"/>
      <c r="E68" s="46"/>
      <c r="F68" s="46"/>
      <c r="G68" s="46"/>
      <c r="H68" s="46"/>
      <c r="I68" s="46"/>
      <c r="J68" s="46"/>
      <c r="K68" s="46"/>
      <c r="L68" s="46"/>
      <c r="M68" s="46"/>
      <c r="N68" s="46"/>
      <c r="O68" s="46"/>
    </row>
    <row r="69" spans="1:15" ht="18.75" x14ac:dyDescent="0.3">
      <c r="A69" s="46"/>
      <c r="B69" s="46"/>
      <c r="C69" s="46"/>
      <c r="D69" s="46"/>
      <c r="E69" s="46"/>
      <c r="F69" s="46"/>
      <c r="G69" s="46"/>
      <c r="H69" s="46"/>
      <c r="I69" s="46"/>
      <c r="J69" s="46"/>
      <c r="K69" s="46"/>
      <c r="L69" s="46"/>
      <c r="M69" s="46"/>
      <c r="N69" s="46"/>
      <c r="O69" s="46"/>
    </row>
    <row r="70" spans="1:15" ht="18.75" x14ac:dyDescent="0.3">
      <c r="A70" s="46"/>
      <c r="B70" s="46"/>
      <c r="C70" s="46"/>
      <c r="D70" s="46"/>
      <c r="E70" s="46"/>
      <c r="F70" s="46"/>
      <c r="G70" s="46"/>
      <c r="H70" s="46"/>
      <c r="I70" s="46"/>
      <c r="J70" s="46"/>
      <c r="K70" s="46"/>
      <c r="L70" s="46"/>
      <c r="M70" s="46"/>
      <c r="N70" s="46"/>
      <c r="O70" s="46"/>
    </row>
    <row r="71" spans="1:15" ht="18.75" x14ac:dyDescent="0.3">
      <c r="A71" s="46"/>
      <c r="B71" s="46"/>
      <c r="C71" s="46"/>
      <c r="D71" s="46"/>
      <c r="E71" s="46"/>
      <c r="F71" s="46"/>
      <c r="G71" s="46"/>
      <c r="H71" s="46"/>
      <c r="I71" s="46"/>
      <c r="J71" s="46"/>
      <c r="K71" s="46"/>
      <c r="L71" s="46"/>
      <c r="M71" s="46"/>
      <c r="N71" s="46"/>
      <c r="O71" s="46"/>
    </row>
    <row r="72" spans="1:15" ht="18.75" x14ac:dyDescent="0.3">
      <c r="A72" s="46"/>
      <c r="B72" s="46"/>
      <c r="C72" s="46"/>
      <c r="D72" s="46"/>
      <c r="E72" s="46"/>
      <c r="F72" s="46"/>
      <c r="G72" s="46"/>
      <c r="H72" s="46"/>
      <c r="I72" s="46"/>
      <c r="J72" s="46"/>
      <c r="K72" s="46"/>
      <c r="L72" s="46"/>
      <c r="M72" s="46"/>
      <c r="N72" s="46"/>
      <c r="O72" s="46"/>
    </row>
    <row r="73" spans="1:15" ht="18.75" x14ac:dyDescent="0.3">
      <c r="A73" s="46"/>
      <c r="B73" s="46"/>
      <c r="C73" s="46"/>
      <c r="D73" s="46"/>
      <c r="E73" s="46"/>
      <c r="F73" s="46"/>
      <c r="G73" s="46"/>
      <c r="H73" s="46"/>
      <c r="I73" s="46"/>
      <c r="J73" s="46"/>
      <c r="K73" s="46"/>
      <c r="L73" s="46"/>
      <c r="M73" s="46"/>
      <c r="N73" s="46"/>
      <c r="O73" s="46"/>
    </row>
    <row r="74" spans="1:15" ht="18.75" x14ac:dyDescent="0.3">
      <c r="A74" s="46"/>
      <c r="B74" s="46"/>
      <c r="C74" s="46"/>
      <c r="D74" s="46"/>
      <c r="E74" s="46"/>
      <c r="F74" s="46"/>
      <c r="G74" s="46"/>
      <c r="H74" s="46"/>
      <c r="I74" s="46"/>
      <c r="J74" s="46"/>
      <c r="K74" s="46"/>
      <c r="L74" s="46"/>
      <c r="M74" s="46"/>
      <c r="N74" s="46"/>
      <c r="O74" s="46"/>
    </row>
    <row r="75" spans="1:15" ht="18.75" x14ac:dyDescent="0.3">
      <c r="A75" s="46"/>
      <c r="B75" s="46"/>
      <c r="C75" s="46"/>
      <c r="D75" s="46"/>
      <c r="E75" s="46"/>
      <c r="F75" s="46"/>
      <c r="G75" s="46"/>
      <c r="H75" s="46"/>
      <c r="I75" s="46"/>
      <c r="J75" s="46"/>
      <c r="K75" s="46"/>
      <c r="L75" s="46"/>
      <c r="M75" s="46"/>
      <c r="N75" s="46"/>
      <c r="O75" s="46"/>
    </row>
    <row r="76" spans="1:15" ht="18.75" x14ac:dyDescent="0.3">
      <c r="A76" s="46"/>
      <c r="B76" s="46"/>
      <c r="C76" s="46"/>
      <c r="D76" s="46"/>
      <c r="E76" s="46"/>
      <c r="F76" s="46"/>
      <c r="G76" s="46"/>
      <c r="H76" s="46"/>
      <c r="I76" s="46"/>
      <c r="J76" s="46"/>
      <c r="K76" s="46"/>
      <c r="L76" s="46"/>
      <c r="M76" s="46"/>
      <c r="N76" s="46"/>
      <c r="O76" s="46"/>
    </row>
    <row r="77" spans="1:15" ht="18.75" x14ac:dyDescent="0.3">
      <c r="A77" s="46"/>
      <c r="B77" s="46"/>
      <c r="D77" s="46"/>
      <c r="E77" s="46"/>
      <c r="F77" s="46"/>
      <c r="G77" s="46"/>
      <c r="H77" s="46"/>
      <c r="I77" s="46"/>
      <c r="J77" s="46"/>
      <c r="K77" s="46"/>
      <c r="L77" s="46"/>
      <c r="M77" s="46"/>
      <c r="N77" s="46"/>
      <c r="O77" s="46"/>
    </row>
    <row r="78" spans="1:15" ht="18.75" x14ac:dyDescent="0.3">
      <c r="A78" s="46"/>
      <c r="B78" s="46"/>
      <c r="D78" s="46"/>
      <c r="E78" s="46"/>
      <c r="F78" s="46"/>
      <c r="G78" s="46"/>
      <c r="H78" s="46"/>
      <c r="I78" s="46"/>
      <c r="J78" s="46"/>
      <c r="K78" s="46"/>
      <c r="L78" s="46"/>
      <c r="M78" s="46"/>
      <c r="N78" s="46"/>
      <c r="O78" s="46"/>
    </row>
    <row r="79" spans="1:15" ht="18.75" x14ac:dyDescent="0.3">
      <c r="A79" s="46"/>
      <c r="B79" s="46"/>
      <c r="C79" s="46"/>
      <c r="D79" s="46"/>
      <c r="E79" s="46"/>
      <c r="F79" s="46"/>
      <c r="G79" s="46"/>
      <c r="H79" s="46"/>
      <c r="I79" s="46"/>
      <c r="J79" s="46"/>
      <c r="K79" s="46"/>
      <c r="L79" s="46"/>
      <c r="M79" s="46"/>
      <c r="N79" s="46"/>
      <c r="O79" s="46"/>
    </row>
    <row r="80" spans="1:15" ht="18.75" x14ac:dyDescent="0.3">
      <c r="A80" s="46"/>
      <c r="B80" s="46"/>
      <c r="C80" s="46"/>
      <c r="D80" s="46"/>
      <c r="E80" s="46"/>
      <c r="F80" s="46"/>
      <c r="G80" s="46"/>
      <c r="H80" s="46"/>
      <c r="I80" s="46"/>
      <c r="J80" s="46"/>
      <c r="K80" s="46"/>
      <c r="L80" s="46"/>
      <c r="M80" s="46"/>
      <c r="N80" s="46"/>
      <c r="O80" s="46"/>
    </row>
    <row r="81" spans="1:15" ht="18.75" x14ac:dyDescent="0.3">
      <c r="A81" s="46"/>
      <c r="B81" s="46"/>
      <c r="C81" s="46"/>
      <c r="D81" s="46"/>
      <c r="E81" s="46"/>
      <c r="F81" s="46"/>
      <c r="G81" s="46"/>
      <c r="H81" s="46"/>
      <c r="I81" s="46"/>
      <c r="J81" s="46"/>
      <c r="K81" s="46"/>
      <c r="L81" s="46"/>
      <c r="M81" s="46"/>
      <c r="N81" s="46"/>
      <c r="O81" s="46"/>
    </row>
    <row r="82" spans="1:15" ht="18.75" x14ac:dyDescent="0.3">
      <c r="A82" s="46"/>
      <c r="B82" s="46"/>
      <c r="C82" s="46"/>
      <c r="D82" s="46"/>
      <c r="E82" s="46"/>
      <c r="F82" s="46"/>
      <c r="G82" s="46"/>
      <c r="H82" s="46"/>
      <c r="I82" s="46"/>
      <c r="J82" s="46"/>
      <c r="K82" s="46"/>
      <c r="L82" s="46"/>
      <c r="M82" s="46"/>
      <c r="N82" s="46"/>
      <c r="O82" s="46"/>
    </row>
    <row r="83" spans="1:15" ht="18.75" x14ac:dyDescent="0.3">
      <c r="A83" s="46"/>
      <c r="B83" s="46"/>
      <c r="C83" s="46"/>
      <c r="D83" s="46"/>
      <c r="E83" s="46"/>
      <c r="F83" s="46"/>
      <c r="G83" s="46"/>
      <c r="H83" s="46"/>
      <c r="I83" s="46"/>
      <c r="J83" s="46"/>
      <c r="K83" s="46"/>
      <c r="L83" s="46"/>
      <c r="M83" s="46"/>
      <c r="N83" s="46"/>
      <c r="O83" s="46"/>
    </row>
    <row r="84" spans="1:15" ht="18.75" x14ac:dyDescent="0.3">
      <c r="A84" s="46"/>
      <c r="B84" s="46"/>
      <c r="C84" s="46"/>
      <c r="D84" s="46"/>
      <c r="E84" s="46"/>
      <c r="F84" s="46"/>
      <c r="G84" s="46"/>
      <c r="H84" s="46"/>
      <c r="I84" s="46"/>
      <c r="J84" s="46"/>
      <c r="K84" s="46"/>
      <c r="L84" s="46"/>
      <c r="M84" s="46"/>
      <c r="N84" s="46"/>
      <c r="O84" s="46"/>
    </row>
    <row r="85" spans="1:15" ht="18.75" x14ac:dyDescent="0.3">
      <c r="A85" s="46"/>
      <c r="B85" s="46"/>
      <c r="C85" s="46"/>
      <c r="D85" s="46"/>
      <c r="E85" s="46"/>
      <c r="F85" s="46"/>
      <c r="G85" s="46"/>
      <c r="H85" s="46"/>
      <c r="I85" s="46"/>
      <c r="J85" s="46"/>
      <c r="K85" s="46"/>
      <c r="L85" s="46"/>
      <c r="M85" s="46"/>
      <c r="N85" s="46"/>
      <c r="O85" s="46"/>
    </row>
    <row r="86" spans="1:15" ht="21" x14ac:dyDescent="0.35">
      <c r="A86" s="46"/>
      <c r="B86" s="46"/>
      <c r="C86" s="49" t="s">
        <v>1239</v>
      </c>
      <c r="D86" s="46"/>
      <c r="E86" s="46"/>
      <c r="F86" s="46"/>
      <c r="G86" s="46"/>
      <c r="H86" s="46"/>
      <c r="I86" s="46"/>
      <c r="J86" s="46"/>
      <c r="K86" s="46"/>
      <c r="L86" s="46"/>
      <c r="M86" s="46"/>
      <c r="N86" s="46"/>
      <c r="O86" s="46"/>
    </row>
    <row r="87" spans="1:15" ht="18.75" x14ac:dyDescent="0.3">
      <c r="A87" s="46"/>
      <c r="B87" s="46"/>
      <c r="C87" s="46"/>
      <c r="D87" s="46"/>
      <c r="E87" s="46"/>
      <c r="F87" s="46"/>
      <c r="G87" s="46"/>
      <c r="H87" s="46"/>
      <c r="I87" s="46"/>
      <c r="J87" s="46"/>
      <c r="K87" s="46"/>
      <c r="L87" s="46"/>
      <c r="M87" s="46"/>
      <c r="N87" s="46"/>
      <c r="O87" s="46"/>
    </row>
    <row r="88" spans="1:15" ht="18.75" x14ac:dyDescent="0.3">
      <c r="A88" s="46"/>
      <c r="B88" s="46"/>
      <c r="C88" s="46"/>
      <c r="D88" s="46"/>
      <c r="E88" s="46"/>
      <c r="F88" s="46"/>
      <c r="G88" s="46"/>
      <c r="H88" s="46"/>
      <c r="I88" s="46"/>
      <c r="J88" s="46"/>
      <c r="K88" s="46"/>
      <c r="L88" s="46"/>
      <c r="M88" s="46"/>
      <c r="N88" s="46"/>
      <c r="O88" s="46"/>
    </row>
    <row r="89" spans="1:15" ht="18.75" x14ac:dyDescent="0.3">
      <c r="A89" s="46"/>
      <c r="B89" s="46"/>
      <c r="C89" s="46"/>
      <c r="D89" s="46"/>
      <c r="E89" s="46"/>
      <c r="F89" s="46"/>
      <c r="G89" s="46"/>
      <c r="H89" s="46"/>
      <c r="I89" s="46"/>
      <c r="J89" s="46"/>
      <c r="K89" s="46"/>
      <c r="L89" s="46"/>
      <c r="M89" s="46"/>
      <c r="N89" s="46"/>
      <c r="O89" s="46"/>
    </row>
    <row r="90" spans="1:15" ht="18.75" x14ac:dyDescent="0.3">
      <c r="A90" s="46"/>
      <c r="B90" s="46"/>
      <c r="C90" s="46"/>
      <c r="D90" s="46"/>
      <c r="E90" s="46"/>
      <c r="F90" s="46"/>
      <c r="G90" s="46"/>
      <c r="H90" s="46"/>
      <c r="I90" s="46"/>
      <c r="J90" s="46"/>
      <c r="K90" s="46"/>
      <c r="L90" s="46"/>
      <c r="M90" s="46"/>
      <c r="N90" s="46"/>
      <c r="O90" s="46"/>
    </row>
    <row r="91" spans="1:15" ht="18.75" x14ac:dyDescent="0.3">
      <c r="A91" s="46"/>
      <c r="B91" s="46"/>
      <c r="C91" s="46"/>
      <c r="D91" s="46"/>
      <c r="E91" s="46"/>
      <c r="F91" s="46"/>
      <c r="G91" s="46"/>
      <c r="H91" s="46"/>
      <c r="I91" s="46"/>
      <c r="J91" s="46"/>
      <c r="K91" s="46"/>
      <c r="L91" s="46"/>
      <c r="M91" s="46"/>
      <c r="N91" s="46"/>
      <c r="O91" s="46"/>
    </row>
    <row r="92" spans="1:15" ht="18.75" x14ac:dyDescent="0.3">
      <c r="A92" s="46"/>
      <c r="B92" s="46"/>
      <c r="C92" s="46"/>
      <c r="D92" s="46"/>
      <c r="E92" s="46"/>
      <c r="F92" s="46"/>
      <c r="G92" s="46"/>
      <c r="H92" s="46"/>
      <c r="I92" s="46"/>
      <c r="J92" s="46"/>
      <c r="K92" s="46"/>
      <c r="L92" s="46"/>
      <c r="M92" s="46"/>
      <c r="N92" s="46"/>
      <c r="O92" s="46"/>
    </row>
    <row r="115" spans="3:43" ht="18.75" x14ac:dyDescent="0.3">
      <c r="G115" s="46" t="s">
        <v>1240</v>
      </c>
    </row>
    <row r="116" spans="3:43" ht="18.75" x14ac:dyDescent="0.3">
      <c r="G116" s="46" t="s">
        <v>1241</v>
      </c>
    </row>
    <row r="117" spans="3:43" ht="18.75" x14ac:dyDescent="0.3">
      <c r="G117" s="46"/>
      <c r="I117" s="46" t="s">
        <v>1242</v>
      </c>
    </row>
    <row r="118" spans="3:43" ht="18.75" x14ac:dyDescent="0.3">
      <c r="I118" s="46" t="s">
        <v>1243</v>
      </c>
    </row>
    <row r="119" spans="3:43" ht="18.75" x14ac:dyDescent="0.3">
      <c r="G119" s="46" t="s">
        <v>1244</v>
      </c>
    </row>
    <row r="121" spans="3:43" ht="21" customHeight="1" x14ac:dyDescent="0.35">
      <c r="C121" s="49" t="s">
        <v>1245</v>
      </c>
    </row>
    <row r="122" spans="3:43" ht="21" customHeight="1" x14ac:dyDescent="0.3">
      <c r="O122" s="50"/>
      <c r="P122" s="50" t="s">
        <v>337</v>
      </c>
      <c r="Q122" s="346"/>
      <c r="R122" s="346"/>
      <c r="S122" s="344" t="s">
        <v>1246</v>
      </c>
      <c r="Z122" s="347">
        <v>0.34</v>
      </c>
      <c r="AA122" s="348"/>
      <c r="AC122" s="344" t="s">
        <v>1247</v>
      </c>
    </row>
    <row r="123" spans="3:43" ht="21" customHeight="1" x14ac:dyDescent="0.25">
      <c r="P123" s="346"/>
      <c r="Q123" s="346"/>
      <c r="AP123" s="347">
        <v>0.03</v>
      </c>
      <c r="AQ123" s="348"/>
    </row>
    <row r="124" spans="3:43" x14ac:dyDescent="0.25">
      <c r="P124" s="349"/>
    </row>
    <row r="125" spans="3:43" x14ac:dyDescent="0.25">
      <c r="P125" s="349"/>
    </row>
    <row r="126" spans="3:43" x14ac:dyDescent="0.25">
      <c r="P126" s="349"/>
    </row>
    <row r="127" spans="3:43" x14ac:dyDescent="0.25">
      <c r="P127" s="349"/>
    </row>
    <row r="128" spans="3:43" ht="18.75" x14ac:dyDescent="0.3">
      <c r="P128" s="349"/>
      <c r="AO128" s="344" t="s">
        <v>1248</v>
      </c>
    </row>
    <row r="129" spans="4:58" x14ac:dyDescent="0.25">
      <c r="P129" s="349"/>
    </row>
    <row r="130" spans="4:58" x14ac:dyDescent="0.25">
      <c r="P130" s="349"/>
    </row>
    <row r="131" spans="4:58" x14ac:dyDescent="0.25">
      <c r="P131" s="349"/>
    </row>
    <row r="132" spans="4:58" ht="21" x14ac:dyDescent="0.35">
      <c r="L132" s="48"/>
      <c r="M132" s="347">
        <v>1</v>
      </c>
      <c r="N132" s="348"/>
      <c r="P132" s="349"/>
      <c r="U132" s="346"/>
    </row>
    <row r="133" spans="4:58" x14ac:dyDescent="0.25">
      <c r="P133" s="349"/>
      <c r="T133" s="346"/>
    </row>
    <row r="134" spans="4:58" x14ac:dyDescent="0.25">
      <c r="P134" s="349"/>
      <c r="S134" s="346"/>
    </row>
    <row r="135" spans="4:58" ht="18.75" x14ac:dyDescent="0.3">
      <c r="D135" s="344" t="s">
        <v>1249</v>
      </c>
      <c r="E135" s="344"/>
      <c r="F135" s="344"/>
      <c r="G135" s="344"/>
      <c r="H135" s="344"/>
      <c r="I135" s="344"/>
      <c r="J135" s="344"/>
      <c r="K135" s="344"/>
      <c r="L135" s="344"/>
      <c r="M135" s="344"/>
      <c r="N135" s="344"/>
      <c r="O135" s="344"/>
      <c r="P135" s="350"/>
      <c r="Q135" s="344"/>
      <c r="R135" s="351"/>
      <c r="S135" s="344"/>
      <c r="T135" s="344"/>
      <c r="U135" s="344"/>
      <c r="V135" s="344"/>
      <c r="W135" s="344"/>
      <c r="X135" s="344"/>
      <c r="Y135" s="344"/>
      <c r="Z135" s="344"/>
      <c r="AA135" s="344"/>
      <c r="AB135" s="344" t="s">
        <v>1250</v>
      </c>
      <c r="AC135" s="344"/>
      <c r="AD135" s="344"/>
      <c r="AE135" s="344"/>
      <c r="AF135" s="344"/>
      <c r="AG135" s="344"/>
      <c r="AH135" s="344"/>
      <c r="AI135" s="344"/>
      <c r="AJ135" s="344"/>
      <c r="AK135" s="344"/>
      <c r="AL135" s="344"/>
      <c r="AM135" s="347">
        <v>0.05</v>
      </c>
      <c r="AN135" s="348"/>
      <c r="BB135" s="34" t="s">
        <v>1251</v>
      </c>
    </row>
    <row r="136" spans="4:58" ht="18.75" x14ac:dyDescent="0.3">
      <c r="D136" s="344"/>
      <c r="E136" s="344" t="s">
        <v>1252</v>
      </c>
      <c r="F136" s="344"/>
      <c r="G136" s="344"/>
      <c r="H136" s="344"/>
      <c r="I136" s="344"/>
      <c r="J136" s="344"/>
      <c r="K136" s="344"/>
      <c r="L136" s="344"/>
      <c r="M136" s="344"/>
      <c r="N136" s="344"/>
      <c r="O136" s="344"/>
      <c r="P136" s="350"/>
      <c r="Q136" s="352"/>
      <c r="R136" s="353"/>
      <c r="S136" s="353"/>
      <c r="T136" s="353"/>
      <c r="U136" s="353"/>
      <c r="V136" s="353"/>
      <c r="W136" s="353"/>
      <c r="X136" s="353"/>
      <c r="Y136" s="344"/>
      <c r="Z136" s="344"/>
      <c r="AA136" s="344"/>
      <c r="AB136" s="344"/>
      <c r="AC136" s="344"/>
      <c r="AD136" s="344"/>
      <c r="AE136" s="344"/>
      <c r="AF136" s="344"/>
      <c r="AG136" s="344"/>
      <c r="AH136" s="344"/>
      <c r="AI136" s="344"/>
      <c r="AJ136" s="344"/>
      <c r="AK136" s="344"/>
      <c r="AL136" s="344"/>
      <c r="AM136" s="344"/>
    </row>
    <row r="137" spans="4:58" ht="18.75" x14ac:dyDescent="0.3">
      <c r="D137" s="344"/>
      <c r="E137" s="344"/>
      <c r="F137" s="344" t="s">
        <v>1253</v>
      </c>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row>
    <row r="138" spans="4:58" ht="18.75" x14ac:dyDescent="0.3">
      <c r="D138" s="344"/>
      <c r="E138" s="344"/>
      <c r="F138" s="344" t="s">
        <v>1254</v>
      </c>
      <c r="G138" s="344"/>
      <c r="H138" s="344"/>
      <c r="I138" s="344"/>
      <c r="J138" s="344"/>
      <c r="K138" s="344"/>
      <c r="L138" s="344"/>
      <c r="M138" s="344"/>
      <c r="N138" s="344"/>
      <c r="O138" s="344"/>
      <c r="P138" s="344"/>
      <c r="Q138" s="344"/>
      <c r="R138" s="344"/>
      <c r="S138" s="344" t="s">
        <v>1255</v>
      </c>
      <c r="T138" s="344"/>
      <c r="U138" s="344"/>
      <c r="V138" s="344"/>
      <c r="W138" s="344"/>
      <c r="X138" s="344"/>
      <c r="Y138" s="344"/>
      <c r="Z138" s="344"/>
      <c r="AA138" s="344"/>
      <c r="AB138" s="344"/>
      <c r="AC138" s="344"/>
      <c r="AD138" s="344"/>
      <c r="AE138" s="344"/>
      <c r="AF138" s="344"/>
      <c r="AG138" s="344"/>
      <c r="AH138" s="344"/>
      <c r="AI138" s="344"/>
      <c r="AJ138" s="344"/>
      <c r="AK138" s="344"/>
      <c r="AL138" s="344"/>
      <c r="AM138" s="344"/>
    </row>
    <row r="139" spans="4:58" ht="18.75" x14ac:dyDescent="0.3">
      <c r="D139" s="344"/>
      <c r="L139" s="344"/>
      <c r="M139" s="344"/>
      <c r="N139" s="344"/>
      <c r="O139" s="344"/>
      <c r="P139" s="344"/>
      <c r="Q139" s="344"/>
      <c r="R139" s="344"/>
      <c r="S139" s="344"/>
      <c r="T139" s="344"/>
      <c r="U139" s="344" t="s">
        <v>1256</v>
      </c>
      <c r="V139" s="344"/>
      <c r="W139" s="344"/>
      <c r="X139" s="344"/>
      <c r="Y139" s="344"/>
      <c r="Z139" s="344"/>
      <c r="AA139" s="344"/>
      <c r="AB139" s="344"/>
      <c r="AC139" s="344"/>
      <c r="AD139" s="344"/>
      <c r="AE139" s="344"/>
      <c r="AF139" s="344"/>
      <c r="AG139" s="344"/>
      <c r="AH139" s="344"/>
      <c r="AI139" s="344"/>
      <c r="AJ139" s="344"/>
      <c r="AK139" s="344"/>
      <c r="AL139" s="344"/>
      <c r="AM139" s="344"/>
    </row>
    <row r="140" spans="4:58" ht="18.75" x14ac:dyDescent="0.3">
      <c r="D140" s="344"/>
      <c r="E140" s="344"/>
      <c r="F140" s="344"/>
      <c r="G140" s="344"/>
      <c r="H140" s="344"/>
      <c r="I140" s="344"/>
      <c r="J140" s="344"/>
      <c r="K140" s="344"/>
      <c r="L140" s="344"/>
      <c r="M140" s="344"/>
      <c r="N140" s="344"/>
      <c r="O140" s="344"/>
      <c r="P140" s="344"/>
      <c r="Q140" s="344"/>
      <c r="R140" s="344"/>
      <c r="S140" s="344"/>
      <c r="T140" s="344"/>
      <c r="U140" s="344"/>
      <c r="V140" s="344"/>
      <c r="W140" s="344" t="s">
        <v>1257</v>
      </c>
      <c r="X140" s="344"/>
      <c r="Y140" s="344"/>
      <c r="Z140" s="344"/>
      <c r="AA140" s="344"/>
      <c r="AB140" s="344"/>
      <c r="AC140" s="344"/>
      <c r="AD140" s="344"/>
      <c r="AE140" s="344"/>
      <c r="AF140" s="344"/>
      <c r="AG140" s="344"/>
      <c r="AH140" s="344"/>
      <c r="AI140" s="344"/>
      <c r="AJ140" s="344"/>
      <c r="AK140" s="344"/>
      <c r="AL140" s="344"/>
      <c r="AM140" s="344"/>
      <c r="AP140" s="344" t="s">
        <v>1258</v>
      </c>
      <c r="BB140" s="344" t="s">
        <v>1259</v>
      </c>
    </row>
    <row r="141" spans="4:58" ht="18.75" x14ac:dyDescent="0.3">
      <c r="D141" s="344"/>
      <c r="E141" s="344"/>
      <c r="F141" s="344"/>
      <c r="G141" s="344"/>
      <c r="H141" s="344"/>
      <c r="I141" s="344"/>
      <c r="J141" s="344"/>
      <c r="L141" s="344"/>
      <c r="M141" s="344" t="s">
        <v>1260</v>
      </c>
      <c r="N141" s="344"/>
      <c r="O141" s="344"/>
      <c r="P141" s="344"/>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c r="AM141" s="344"/>
      <c r="AP141" s="354" t="s">
        <v>1261</v>
      </c>
      <c r="BB141" s="344" t="s">
        <v>1262</v>
      </c>
    </row>
    <row r="142" spans="4:58" ht="18.75" x14ac:dyDescent="0.3">
      <c r="D142" s="344"/>
      <c r="E142" s="344"/>
      <c r="F142" s="344"/>
      <c r="G142" s="344"/>
      <c r="H142" s="344"/>
      <c r="I142" s="344"/>
      <c r="J142" s="344"/>
      <c r="K142" s="344"/>
      <c r="L142" s="344"/>
      <c r="M142" s="344" t="s">
        <v>1263</v>
      </c>
      <c r="N142" s="344"/>
      <c r="O142" s="344"/>
      <c r="P142" s="344"/>
      <c r="Q142" s="344"/>
      <c r="R142" s="344"/>
      <c r="S142" s="344"/>
      <c r="T142" s="344"/>
      <c r="U142" s="344"/>
      <c r="V142" s="344"/>
      <c r="W142" s="344"/>
      <c r="X142" s="344"/>
      <c r="Y142" s="344"/>
      <c r="Z142" s="354" t="s">
        <v>1264</v>
      </c>
      <c r="AA142" s="344"/>
      <c r="AB142" s="344"/>
      <c r="AC142" s="344"/>
      <c r="AD142" s="344"/>
      <c r="AE142" s="344"/>
      <c r="AF142" s="344"/>
      <c r="AG142" s="344"/>
      <c r="AH142" s="344"/>
      <c r="AI142" s="344"/>
      <c r="AJ142" s="344"/>
      <c r="AK142" s="344"/>
      <c r="AL142" s="344"/>
      <c r="AM142" s="344"/>
    </row>
    <row r="143" spans="4:58" ht="18.75" x14ac:dyDescent="0.3">
      <c r="D143" s="344"/>
      <c r="E143" s="344"/>
      <c r="F143" s="344"/>
      <c r="G143" s="344"/>
      <c r="H143" s="344"/>
      <c r="I143" s="344"/>
      <c r="J143" s="344"/>
      <c r="K143" s="344"/>
      <c r="L143" s="344"/>
      <c r="M143" s="344"/>
      <c r="N143" s="344"/>
      <c r="O143" s="344"/>
      <c r="P143" s="344"/>
      <c r="Q143" s="344"/>
      <c r="R143" s="344"/>
      <c r="S143" s="344"/>
      <c r="T143" s="344"/>
      <c r="U143" s="344"/>
      <c r="V143" s="344"/>
      <c r="W143" s="344"/>
      <c r="X143" s="344"/>
      <c r="Y143" s="344"/>
      <c r="Z143" s="344" t="s">
        <v>1265</v>
      </c>
      <c r="AA143" s="344"/>
      <c r="AB143" s="344"/>
      <c r="AC143" s="344"/>
      <c r="AD143" s="344"/>
      <c r="AE143" s="344"/>
      <c r="AF143" s="344"/>
      <c r="AG143" s="344"/>
      <c r="AH143" s="344"/>
      <c r="AI143" s="344"/>
      <c r="AJ143" s="344"/>
      <c r="AK143" s="344"/>
      <c r="AL143" s="344"/>
      <c r="AM143" s="344"/>
      <c r="AN143" s="354" t="s">
        <v>1266</v>
      </c>
      <c r="AO143" s="344"/>
      <c r="AP143" s="344"/>
      <c r="AQ143" s="344"/>
      <c r="AR143" s="344"/>
      <c r="AS143" s="344"/>
      <c r="AT143" s="344"/>
      <c r="AU143" s="344"/>
      <c r="AV143" s="344"/>
      <c r="AW143" s="344"/>
      <c r="AX143" s="344"/>
      <c r="AY143" s="344"/>
      <c r="AZ143" s="344"/>
      <c r="BA143" s="355">
        <f>50*0.746*6000/0.94</f>
        <v>238085.1063829787</v>
      </c>
      <c r="BB143" s="356"/>
      <c r="BC143" s="356"/>
      <c r="BD143" s="344" t="s">
        <v>1267</v>
      </c>
      <c r="BE143" s="344"/>
      <c r="BF143" s="344"/>
    </row>
    <row r="144" spans="4:58" ht="18.75" x14ac:dyDescent="0.3">
      <c r="AN144" s="344" t="s">
        <v>1248</v>
      </c>
      <c r="AO144" s="344"/>
      <c r="AP144" s="344"/>
      <c r="AQ144" s="344"/>
      <c r="AR144" s="344"/>
      <c r="AS144" s="344"/>
      <c r="AT144" s="344"/>
      <c r="AU144" s="344"/>
      <c r="AV144" s="344"/>
      <c r="AW144" s="344"/>
      <c r="AX144" s="344"/>
      <c r="AY144" s="344"/>
      <c r="AZ144" s="344"/>
      <c r="BA144" s="357">
        <f>BA143/60000000</f>
        <v>3.9680851063829785E-3</v>
      </c>
      <c r="BB144" s="358"/>
      <c r="BC144" s="359"/>
      <c r="BD144" s="344"/>
      <c r="BE144" s="344"/>
    </row>
    <row r="145" spans="2:58" ht="26.25" x14ac:dyDescent="0.4">
      <c r="C145" s="340" t="s">
        <v>1268</v>
      </c>
      <c r="D145" s="25"/>
      <c r="E145" s="25"/>
      <c r="K145" s="46" t="s">
        <v>1269</v>
      </c>
      <c r="AN145" s="344"/>
      <c r="AO145" s="344"/>
      <c r="AR145" s="344"/>
      <c r="AS145" s="344"/>
      <c r="AT145" s="344"/>
      <c r="AU145" s="344"/>
      <c r="AV145" s="344"/>
      <c r="AW145" s="344"/>
      <c r="AX145" s="344"/>
      <c r="AY145" s="344"/>
      <c r="AZ145" s="344"/>
      <c r="BA145" s="360" t="s">
        <v>1270</v>
      </c>
    </row>
    <row r="146" spans="2:58" ht="18.75" x14ac:dyDescent="0.3">
      <c r="C146" s="46"/>
      <c r="D146" s="25" t="s">
        <v>1271</v>
      </c>
      <c r="E146" s="25"/>
      <c r="AN146" s="344"/>
      <c r="AO146" s="344"/>
      <c r="AR146" s="344"/>
      <c r="AS146" s="344"/>
      <c r="AT146" s="344"/>
      <c r="AU146" s="344"/>
      <c r="AV146" s="344"/>
      <c r="AW146" s="344"/>
      <c r="AX146" s="344"/>
      <c r="AY146" s="344"/>
      <c r="AZ146" s="344"/>
      <c r="BA146" s="344"/>
      <c r="BB146" s="360" t="s">
        <v>1272</v>
      </c>
      <c r="BC146" s="344"/>
      <c r="BD146" s="344"/>
      <c r="BE146" s="344"/>
      <c r="BF146" s="344"/>
    </row>
    <row r="147" spans="2:58" ht="18.75" x14ac:dyDescent="0.3">
      <c r="C147" s="46"/>
      <c r="D147" s="46" t="s">
        <v>1273</v>
      </c>
      <c r="E147" s="46"/>
      <c r="AN147" s="344"/>
      <c r="AO147" s="344"/>
      <c r="AP147" s="344"/>
      <c r="AQ147" s="344"/>
      <c r="AR147" s="344"/>
      <c r="AS147" s="344"/>
      <c r="AT147" s="344"/>
      <c r="AU147" s="344"/>
      <c r="AV147" s="344"/>
      <c r="AW147" s="344"/>
      <c r="AX147" s="344"/>
      <c r="AY147" s="344"/>
      <c r="AZ147" s="344"/>
      <c r="BA147" s="344"/>
      <c r="BB147" s="360" t="s">
        <v>1274</v>
      </c>
      <c r="BC147" s="344"/>
      <c r="BD147" s="344"/>
      <c r="BE147" s="344"/>
      <c r="BF147" s="344"/>
    </row>
    <row r="148" spans="2:58" ht="18.75" x14ac:dyDescent="0.3">
      <c r="C148" s="46"/>
      <c r="D148" s="25" t="s">
        <v>1275</v>
      </c>
      <c r="E148" s="25"/>
      <c r="AN148" s="344"/>
      <c r="AO148" s="344"/>
      <c r="AP148" s="344"/>
      <c r="AQ148" s="344"/>
      <c r="AR148" s="344"/>
      <c r="AS148" s="344"/>
      <c r="AT148" s="344"/>
      <c r="AU148" s="344"/>
      <c r="AV148" s="344"/>
      <c r="AW148" s="344"/>
      <c r="AX148" s="344"/>
      <c r="AY148" s="344"/>
      <c r="AZ148" s="344"/>
      <c r="BA148" s="344"/>
      <c r="BB148" s="360" t="s">
        <v>1276</v>
      </c>
      <c r="BC148" s="344"/>
      <c r="BD148" s="344"/>
      <c r="BE148" s="344"/>
      <c r="BF148" s="344"/>
    </row>
    <row r="149" spans="2:58" ht="18.75" x14ac:dyDescent="0.3">
      <c r="AN149" s="344"/>
      <c r="AO149" s="344"/>
      <c r="AP149" s="344"/>
      <c r="AQ149" s="344"/>
      <c r="AR149" s="344"/>
      <c r="AS149" s="344"/>
      <c r="AT149" s="344"/>
      <c r="AU149" s="344"/>
      <c r="AV149" s="344"/>
      <c r="AW149" s="344"/>
      <c r="AX149" s="344"/>
      <c r="AY149" s="344"/>
      <c r="AZ149" s="344"/>
      <c r="BA149" s="344"/>
      <c r="BB149" s="344"/>
      <c r="BC149" s="344"/>
      <c r="BD149" s="344"/>
      <c r="BE149" s="344"/>
      <c r="BF149" s="344"/>
    </row>
    <row r="150" spans="2:58" ht="18.75" x14ac:dyDescent="0.3">
      <c r="B150" s="46"/>
      <c r="C150" s="46"/>
      <c r="D150" s="46"/>
      <c r="E150" s="46" t="s">
        <v>1277</v>
      </c>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row>
    <row r="151" spans="2:58" ht="18.75" x14ac:dyDescent="0.3">
      <c r="B151" s="46"/>
      <c r="C151" s="46"/>
      <c r="D151" s="46"/>
      <c r="E151" s="46"/>
      <c r="F151" s="46" t="s">
        <v>1278</v>
      </c>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row>
    <row r="152" spans="2:58" ht="18.75" x14ac:dyDescent="0.3">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row>
    <row r="153" spans="2:58" ht="18.75" x14ac:dyDescent="0.3">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row>
    <row r="154" spans="2:58" ht="26.25" x14ac:dyDescent="0.4">
      <c r="C154" s="340" t="s">
        <v>1279</v>
      </c>
      <c r="D154" s="25"/>
      <c r="E154" s="25"/>
      <c r="K154" s="46" t="s">
        <v>1269</v>
      </c>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row>
    <row r="155" spans="2:58" ht="18.75" x14ac:dyDescent="0.3">
      <c r="C155" s="46"/>
      <c r="D155" s="25" t="s">
        <v>1271</v>
      </c>
      <c r="E155" s="25"/>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row>
    <row r="156" spans="2:58" ht="18.75" x14ac:dyDescent="0.3">
      <c r="C156" s="46"/>
      <c r="D156" s="46" t="s">
        <v>1273</v>
      </c>
      <c r="E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row>
    <row r="157" spans="2:58" ht="18.75" x14ac:dyDescent="0.3">
      <c r="C157" s="46"/>
      <c r="D157" s="25" t="s">
        <v>1275</v>
      </c>
      <c r="E157" s="25"/>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row>
    <row r="158" spans="2:58" ht="18.75" x14ac:dyDescent="0.3">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row>
    <row r="159" spans="2:58" ht="18.75" x14ac:dyDescent="0.3">
      <c r="B159" s="46"/>
      <c r="C159" s="46"/>
      <c r="D159" s="46"/>
      <c r="E159" s="46"/>
      <c r="F159" s="46" t="s">
        <v>1277</v>
      </c>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row>
    <row r="160" spans="2:58" ht="18.75" x14ac:dyDescent="0.3">
      <c r="B160" s="46"/>
      <c r="C160" s="46"/>
      <c r="D160" s="46"/>
      <c r="E160" s="46"/>
      <c r="F160" s="46"/>
      <c r="G160" s="46" t="s">
        <v>1278</v>
      </c>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row>
    <row r="161" spans="2:43" ht="18.75" x14ac:dyDescent="0.3">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row>
    <row r="162" spans="2:43" ht="18.75" x14ac:dyDescent="0.3">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row>
    <row r="163" spans="2:43" ht="26.25" x14ac:dyDescent="0.4">
      <c r="B163" s="46"/>
      <c r="D163" s="340" t="s">
        <v>86</v>
      </c>
      <c r="E163" s="25"/>
      <c r="F163" s="25"/>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row>
    <row r="164" spans="2:43" ht="18.75" x14ac:dyDescent="0.3">
      <c r="B164" s="46"/>
      <c r="D164" s="46"/>
      <c r="E164" s="25" t="s">
        <v>1280</v>
      </c>
      <c r="F164" s="25"/>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row>
    <row r="165" spans="2:43" ht="18.75" x14ac:dyDescent="0.3">
      <c r="B165" s="46"/>
      <c r="C165" s="46"/>
      <c r="D165" s="46"/>
      <c r="E165" s="46" t="s">
        <v>1281</v>
      </c>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row>
    <row r="166" spans="2:43" ht="18.75" x14ac:dyDescent="0.3">
      <c r="B166" s="46"/>
      <c r="C166" s="46"/>
      <c r="D166" s="46"/>
      <c r="E166" s="46" t="s">
        <v>1282</v>
      </c>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row>
  </sheetData>
  <mergeCells count="1">
    <mergeCell ref="A1:C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42623-5B19-4B80-BAE2-7BE462880239}">
  <dimension ref="A1:CX145"/>
  <sheetViews>
    <sheetView topLeftCell="BE14" zoomScale="51" zoomScaleNormal="51" workbookViewId="0">
      <selection activeCell="C6" sqref="C6"/>
    </sheetView>
  </sheetViews>
  <sheetFormatPr defaultRowHeight="15" x14ac:dyDescent="0.25"/>
  <cols>
    <col min="1" max="3" width="5.85546875" customWidth="1"/>
    <col min="10" max="10" width="6.42578125" customWidth="1"/>
    <col min="19" max="21" width="9.7109375" customWidth="1"/>
    <col min="27" max="29" width="10.85546875" customWidth="1"/>
    <col min="32" max="32" width="11.140625" customWidth="1"/>
    <col min="33" max="33" width="7" customWidth="1"/>
    <col min="36" max="36" width="2.140625" customWidth="1"/>
    <col min="37" max="37" width="9.5703125" customWidth="1"/>
    <col min="38" max="46" width="9.28515625" customWidth="1"/>
    <col min="48" max="50" width="9.28515625" customWidth="1"/>
    <col min="51" max="51" width="10.7109375" customWidth="1"/>
    <col min="53" max="55" width="10.5703125" customWidth="1"/>
    <col min="57" max="59" width="10.140625" customWidth="1"/>
    <col min="61" max="63" width="10.140625" customWidth="1"/>
    <col min="68" max="68" width="2.140625" customWidth="1"/>
    <col min="102" max="102" width="2.42578125" customWidth="1"/>
  </cols>
  <sheetData>
    <row r="1" spans="1:102" ht="32.450000000000003" customHeight="1" x14ac:dyDescent="0.25">
      <c r="A1" s="782" t="s">
        <v>1283</v>
      </c>
      <c r="B1" s="783"/>
      <c r="C1" s="784"/>
      <c r="AJ1" s="361"/>
      <c r="BP1" s="361"/>
      <c r="CX1" s="361"/>
    </row>
    <row r="2" spans="1:102" ht="61.5" x14ac:dyDescent="0.9">
      <c r="A2" s="785"/>
      <c r="B2" s="786"/>
      <c r="C2" s="787"/>
      <c r="E2" s="362" t="s">
        <v>1284</v>
      </c>
      <c r="AJ2" s="361"/>
      <c r="BP2" s="361"/>
      <c r="CX2" s="361"/>
    </row>
    <row r="3" spans="1:102" ht="32.450000000000003" customHeight="1" x14ac:dyDescent="0.25">
      <c r="A3" s="788"/>
      <c r="B3" s="789"/>
      <c r="C3" s="790"/>
      <c r="F3" s="363" t="s">
        <v>1185</v>
      </c>
      <c r="AJ3" s="361"/>
      <c r="BP3" s="361"/>
      <c r="CX3" s="361"/>
    </row>
    <row r="4" spans="1:102" ht="61.5" x14ac:dyDescent="0.25">
      <c r="C4" s="364" t="s">
        <v>1285</v>
      </c>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J4" s="361"/>
      <c r="AK4" s="366" t="s">
        <v>1286</v>
      </c>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P4" s="361"/>
      <c r="BQ4" s="366" t="s">
        <v>1286</v>
      </c>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X4" s="361"/>
    </row>
    <row r="5" spans="1:102" ht="46.5" x14ac:dyDescent="0.25">
      <c r="C5" s="367" t="s">
        <v>1287</v>
      </c>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J5" s="361"/>
      <c r="AK5" s="367" t="s">
        <v>1288</v>
      </c>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P5" s="361"/>
      <c r="BQ5" s="367" t="s">
        <v>1289</v>
      </c>
      <c r="BR5" s="365"/>
      <c r="BS5" s="365"/>
      <c r="BT5" s="365"/>
      <c r="BU5" s="365"/>
      <c r="BV5" s="365"/>
      <c r="BW5" s="365"/>
      <c r="BX5" s="365"/>
      <c r="BY5" s="365"/>
      <c r="BZ5" s="365"/>
      <c r="CA5" s="365"/>
      <c r="CB5" s="365"/>
      <c r="CC5" s="365"/>
      <c r="CD5" s="365"/>
      <c r="CE5" s="365"/>
      <c r="CF5" s="365"/>
      <c r="CG5" s="365"/>
      <c r="CH5" s="365"/>
      <c r="CI5" s="365"/>
      <c r="CJ5" s="365"/>
      <c r="CK5" s="365"/>
      <c r="CL5" s="365"/>
      <c r="CM5" s="365"/>
      <c r="CN5" s="365"/>
      <c r="CO5" s="365"/>
      <c r="CP5" s="365"/>
      <c r="CQ5" s="365"/>
      <c r="CR5" s="365"/>
      <c r="CS5" s="365"/>
      <c r="CT5" s="365"/>
      <c r="CU5" s="365"/>
      <c r="CV5" s="365"/>
      <c r="CX5" s="361"/>
    </row>
    <row r="6" spans="1:102" ht="47.25" thickBot="1" x14ac:dyDescent="0.3">
      <c r="T6" s="368"/>
      <c r="AJ6" s="361"/>
      <c r="BJ6" s="365"/>
      <c r="BK6" s="365"/>
      <c r="BL6" s="365"/>
      <c r="BP6" s="361"/>
      <c r="BQ6" s="365"/>
      <c r="CP6" s="365"/>
      <c r="CX6" s="361"/>
    </row>
    <row r="7" spans="1:102" ht="79.900000000000006" customHeight="1" thickBot="1" x14ac:dyDescent="0.6">
      <c r="F7" s="368" t="s">
        <v>1290</v>
      </c>
      <c r="H7" s="369" t="s">
        <v>1291</v>
      </c>
      <c r="I7" s="370"/>
      <c r="J7" s="371"/>
      <c r="K7" s="372"/>
      <c r="L7" s="373" t="s">
        <v>1292</v>
      </c>
      <c r="M7" s="374"/>
      <c r="N7" s="375"/>
      <c r="O7" s="372"/>
      <c r="P7" s="376" t="s">
        <v>1293</v>
      </c>
      <c r="Q7" s="377"/>
      <c r="R7" s="378"/>
      <c r="S7" s="372"/>
      <c r="T7" s="379" t="s">
        <v>1294</v>
      </c>
      <c r="U7" s="380"/>
      <c r="V7" s="381"/>
      <c r="W7" s="372"/>
      <c r="X7" s="382" t="s">
        <v>1295</v>
      </c>
      <c r="Y7" s="383"/>
      <c r="Z7" s="384"/>
      <c r="AA7" s="372"/>
      <c r="AB7" s="385" t="s">
        <v>1296</v>
      </c>
      <c r="AC7" s="386"/>
      <c r="AD7" s="387"/>
      <c r="AJ7" s="361"/>
      <c r="AM7" s="368" t="s">
        <v>1290</v>
      </c>
      <c r="AO7" s="388" t="s">
        <v>1293</v>
      </c>
      <c r="AP7" s="389"/>
      <c r="AQ7" s="390"/>
      <c r="AR7" s="391"/>
      <c r="AS7" s="392" t="s">
        <v>1297</v>
      </c>
      <c r="AT7" s="393"/>
      <c r="AU7" s="394"/>
      <c r="AV7" s="391"/>
      <c r="AW7" s="395" t="s">
        <v>1298</v>
      </c>
      <c r="AX7" s="396"/>
      <c r="AY7" s="397"/>
      <c r="AZ7" s="391"/>
      <c r="BA7" s="398" t="s">
        <v>1299</v>
      </c>
      <c r="BB7" s="399"/>
      <c r="BC7" s="400"/>
      <c r="BE7" s="401" t="s">
        <v>1300</v>
      </c>
      <c r="BF7" s="402"/>
      <c r="BG7" s="403"/>
      <c r="BI7" s="401" t="s">
        <v>1301</v>
      </c>
      <c r="BJ7" s="404"/>
      <c r="BK7" s="404"/>
      <c r="BL7" s="405"/>
      <c r="BP7" s="361"/>
      <c r="BQ7" s="367" t="s">
        <v>1290</v>
      </c>
      <c r="BR7" s="365"/>
      <c r="BS7" s="388" t="s">
        <v>1293</v>
      </c>
      <c r="BT7" s="389"/>
      <c r="BU7" s="390"/>
      <c r="BV7" s="391"/>
      <c r="BW7" s="392" t="s">
        <v>1297</v>
      </c>
      <c r="BX7" s="393"/>
      <c r="BY7" s="394"/>
      <c r="CA7" s="406" t="s">
        <v>1302</v>
      </c>
      <c r="CB7" s="407"/>
      <c r="CC7" s="408"/>
      <c r="CE7" s="395" t="s">
        <v>1298</v>
      </c>
      <c r="CF7" s="396"/>
      <c r="CG7" s="397"/>
      <c r="CH7" s="391"/>
      <c r="CI7" s="398" t="s">
        <v>1299</v>
      </c>
      <c r="CJ7" s="399"/>
      <c r="CK7" s="400"/>
      <c r="CM7" s="401" t="s">
        <v>1301</v>
      </c>
      <c r="CN7" s="404"/>
      <c r="CO7" s="404"/>
      <c r="CP7" s="405"/>
      <c r="CR7" s="401" t="s">
        <v>1303</v>
      </c>
      <c r="CS7" s="409"/>
      <c r="CT7" s="410"/>
      <c r="CU7" s="411"/>
      <c r="CX7" s="361"/>
    </row>
    <row r="8" spans="1:102" ht="29.25" thickBot="1" x14ac:dyDescent="0.5">
      <c r="E8" s="412"/>
      <c r="F8" s="412"/>
      <c r="G8" s="412"/>
      <c r="Q8" s="412"/>
      <c r="R8" s="412"/>
      <c r="S8" s="412"/>
      <c r="T8" s="413"/>
      <c r="U8" s="412"/>
      <c r="V8" s="412"/>
      <c r="W8" s="412"/>
      <c r="Y8" s="414"/>
      <c r="Z8" s="414"/>
      <c r="AA8" s="414"/>
      <c r="AC8" s="414"/>
      <c r="AD8" s="414"/>
      <c r="AE8" s="414"/>
      <c r="AJ8" s="361"/>
      <c r="BK8" s="365"/>
      <c r="BL8" s="365"/>
      <c r="BP8" s="361"/>
      <c r="CX8" s="361"/>
    </row>
    <row r="9" spans="1:102" ht="70.900000000000006" customHeight="1" thickBot="1" x14ac:dyDescent="0.6">
      <c r="E9" s="412"/>
      <c r="F9" s="412"/>
      <c r="G9" s="412"/>
      <c r="L9" s="415" t="s">
        <v>1304</v>
      </c>
      <c r="M9" s="416"/>
      <c r="N9" s="416"/>
      <c r="O9" s="417"/>
      <c r="P9" s="391"/>
      <c r="Q9" s="415" t="s">
        <v>1305</v>
      </c>
      <c r="R9" s="416"/>
      <c r="S9" s="416"/>
      <c r="T9" s="416"/>
      <c r="U9" s="417"/>
      <c r="V9" s="391"/>
      <c r="W9" s="415" t="s">
        <v>1306</v>
      </c>
      <c r="X9" s="416"/>
      <c r="Y9" s="417"/>
      <c r="AJ9" s="361"/>
      <c r="AL9" s="418" t="s">
        <v>1307</v>
      </c>
      <c r="AM9" s="402"/>
      <c r="AN9" s="402"/>
      <c r="AO9" s="403"/>
      <c r="AQ9" s="418" t="s">
        <v>1308</v>
      </c>
      <c r="AR9" s="402"/>
      <c r="AS9" s="402"/>
      <c r="AT9" s="403"/>
      <c r="AV9" s="401" t="s">
        <v>1309</v>
      </c>
      <c r="AW9" s="402"/>
      <c r="AX9" s="402"/>
      <c r="AY9" s="403"/>
      <c r="BA9" s="401" t="s">
        <v>1310</v>
      </c>
      <c r="BB9" s="402"/>
      <c r="BC9" s="402"/>
      <c r="BD9" s="403"/>
      <c r="BF9" s="401" t="s">
        <v>1304</v>
      </c>
      <c r="BG9" s="409"/>
      <c r="BH9" s="419"/>
      <c r="BJ9" s="401" t="s">
        <v>1303</v>
      </c>
      <c r="BK9" s="409"/>
      <c r="BL9" s="409"/>
      <c r="BM9" s="411"/>
      <c r="BP9" s="361"/>
      <c r="BT9" s="401" t="s">
        <v>1300</v>
      </c>
      <c r="BU9" s="402"/>
      <c r="BV9" s="403"/>
      <c r="BX9" s="401" t="s">
        <v>1311</v>
      </c>
      <c r="BY9" s="409"/>
      <c r="BZ9" s="409"/>
      <c r="CA9" s="419"/>
      <c r="CC9" s="420" t="s">
        <v>1312</v>
      </c>
      <c r="CD9" s="421"/>
      <c r="CE9" s="422"/>
      <c r="CG9" s="423" t="s">
        <v>29</v>
      </c>
      <c r="CH9" s="424"/>
      <c r="CI9" s="425"/>
      <c r="CK9" s="401" t="s">
        <v>1313</v>
      </c>
      <c r="CL9" s="409"/>
      <c r="CM9" s="410"/>
      <c r="CN9" s="426"/>
      <c r="CO9" s="411"/>
      <c r="CQ9" s="401" t="s">
        <v>1304</v>
      </c>
      <c r="CR9" s="409"/>
      <c r="CS9" s="419"/>
      <c r="CX9" s="361"/>
    </row>
    <row r="10" spans="1:102" ht="15" customHeight="1" x14ac:dyDescent="0.45">
      <c r="E10" s="412"/>
      <c r="F10" s="412"/>
      <c r="G10" s="412"/>
      <c r="Q10" s="412"/>
      <c r="R10" s="412"/>
      <c r="S10" s="412"/>
      <c r="T10" s="413"/>
      <c r="U10" s="412"/>
      <c r="V10" s="412"/>
      <c r="W10" s="412"/>
      <c r="Y10" s="414"/>
      <c r="Z10" s="414"/>
      <c r="AA10" s="414"/>
      <c r="AC10" s="414"/>
      <c r="AD10" s="414"/>
      <c r="AE10" s="414"/>
      <c r="AJ10" s="361"/>
      <c r="BP10" s="361"/>
      <c r="CX10" s="361"/>
    </row>
    <row r="11" spans="1:102" ht="15" customHeight="1" x14ac:dyDescent="0.45">
      <c r="E11" s="412"/>
      <c r="F11" s="412"/>
      <c r="G11" s="412"/>
      <c r="Q11" s="412"/>
      <c r="R11" s="412"/>
      <c r="S11" s="412"/>
      <c r="T11" s="413"/>
      <c r="U11" s="412"/>
      <c r="V11" s="412"/>
      <c r="W11" s="412"/>
      <c r="Y11" s="414"/>
      <c r="Z11" s="414"/>
      <c r="AA11" s="414"/>
      <c r="AC11" s="414"/>
      <c r="AD11" s="414"/>
      <c r="AE11" s="414"/>
      <c r="AJ11" s="361"/>
      <c r="BP11" s="361"/>
      <c r="CX11" s="361"/>
    </row>
    <row r="12" spans="1:102" ht="15" customHeight="1" x14ac:dyDescent="0.45">
      <c r="E12" s="412"/>
      <c r="F12" s="412"/>
      <c r="G12" s="412"/>
      <c r="Q12" s="412"/>
      <c r="R12" s="412"/>
      <c r="S12" s="412"/>
      <c r="T12" s="413"/>
      <c r="U12" s="412"/>
      <c r="V12" s="412"/>
      <c r="W12" s="412"/>
      <c r="Y12" s="414"/>
      <c r="Z12" s="414"/>
      <c r="AA12" s="414"/>
      <c r="AC12" s="414"/>
      <c r="AD12" s="414"/>
      <c r="AE12" s="414"/>
      <c r="AJ12" s="361"/>
      <c r="BP12" s="361"/>
      <c r="CX12" s="361"/>
    </row>
    <row r="13" spans="1:102" ht="15" customHeight="1" x14ac:dyDescent="0.45">
      <c r="E13" s="412"/>
      <c r="F13" s="412"/>
      <c r="G13" s="412"/>
      <c r="Q13" s="412"/>
      <c r="R13" s="412"/>
      <c r="S13" s="412"/>
      <c r="T13" s="413"/>
      <c r="U13" s="412"/>
      <c r="V13" s="412"/>
      <c r="W13" s="412"/>
      <c r="Y13" s="414"/>
      <c r="Z13" s="414"/>
      <c r="AA13" s="414"/>
      <c r="AC13" s="414"/>
      <c r="AD13" s="414"/>
      <c r="AE13" s="414"/>
      <c r="AJ13" s="361"/>
      <c r="BP13" s="361"/>
      <c r="CX13" s="361"/>
    </row>
    <row r="14" spans="1:102" ht="15" customHeight="1" x14ac:dyDescent="0.45">
      <c r="E14" s="412"/>
      <c r="F14" s="412"/>
      <c r="G14" s="412"/>
      <c r="Q14" s="412"/>
      <c r="R14" s="412"/>
      <c r="S14" s="412"/>
      <c r="T14" s="413"/>
      <c r="U14" s="412"/>
      <c r="V14" s="412"/>
      <c r="W14" s="412"/>
      <c r="Y14" s="414"/>
      <c r="Z14" s="414"/>
      <c r="AA14" s="414"/>
      <c r="AC14" s="414"/>
      <c r="AD14" s="414"/>
      <c r="AE14" s="414"/>
      <c r="AJ14" s="361"/>
      <c r="BP14" s="361"/>
      <c r="CX14" s="361"/>
    </row>
    <row r="15" spans="1:102" ht="15" customHeight="1" x14ac:dyDescent="0.45">
      <c r="E15" s="412"/>
      <c r="F15" s="412"/>
      <c r="G15" s="412"/>
      <c r="P15" s="413"/>
      <c r="Q15" s="412"/>
      <c r="R15" s="412"/>
      <c r="S15" s="412"/>
      <c r="T15" s="413"/>
      <c r="U15" s="412"/>
      <c r="V15" s="412"/>
      <c r="W15" s="412"/>
      <c r="Y15" s="414"/>
      <c r="Z15" s="414"/>
      <c r="AA15" s="414"/>
      <c r="AC15" s="414"/>
      <c r="AD15" s="414"/>
      <c r="AE15" s="414"/>
      <c r="AJ15" s="361"/>
      <c r="BP15" s="361"/>
      <c r="CX15" s="361"/>
    </row>
    <row r="16" spans="1:102" ht="15" customHeight="1" x14ac:dyDescent="0.45">
      <c r="E16" s="412"/>
      <c r="F16" s="412"/>
      <c r="G16" s="412"/>
      <c r="P16" s="413"/>
      <c r="Q16" s="412"/>
      <c r="R16" s="412"/>
      <c r="S16" s="412"/>
      <c r="T16" s="413"/>
      <c r="U16" s="412"/>
      <c r="V16" s="412"/>
      <c r="W16" s="412"/>
      <c r="Y16" s="414"/>
      <c r="AC16" s="427"/>
      <c r="AE16" s="414"/>
      <c r="AJ16" s="361"/>
      <c r="BP16" s="361"/>
      <c r="CX16" s="361"/>
    </row>
    <row r="17" spans="5:102" ht="15" customHeight="1" x14ac:dyDescent="0.45">
      <c r="E17" s="412"/>
      <c r="F17" s="412"/>
      <c r="G17" s="412"/>
      <c r="P17" s="413"/>
      <c r="Q17" s="412"/>
      <c r="R17" s="412"/>
      <c r="S17" s="412"/>
      <c r="T17" s="413"/>
      <c r="U17" s="412"/>
      <c r="V17" s="412"/>
      <c r="Y17" s="412"/>
      <c r="AC17" s="427"/>
      <c r="AE17" s="414"/>
      <c r="AJ17" s="361"/>
      <c r="BP17" s="361"/>
      <c r="CX17" s="361"/>
    </row>
    <row r="18" spans="5:102" ht="15" customHeight="1" x14ac:dyDescent="0.45">
      <c r="E18" s="412"/>
      <c r="F18" s="412"/>
      <c r="G18" s="412"/>
      <c r="H18" s="413"/>
      <c r="I18" s="412"/>
      <c r="J18" s="412"/>
      <c r="K18" s="412"/>
      <c r="L18" s="413"/>
      <c r="M18" s="428"/>
      <c r="N18" s="428"/>
      <c r="O18" s="428"/>
      <c r="P18" s="413"/>
      <c r="Q18" s="412"/>
      <c r="R18" s="412"/>
      <c r="S18" s="412"/>
      <c r="T18" s="413"/>
      <c r="U18" s="412"/>
      <c r="V18" s="412"/>
      <c r="Y18" s="412"/>
      <c r="AC18" s="427"/>
      <c r="AE18" s="414"/>
      <c r="AJ18" s="361"/>
      <c r="BP18" s="361"/>
      <c r="CX18" s="361"/>
    </row>
    <row r="19" spans="5:102" ht="15" customHeight="1" x14ac:dyDescent="0.45">
      <c r="E19" s="412"/>
      <c r="F19" s="412"/>
      <c r="G19" s="412"/>
      <c r="H19" s="413"/>
      <c r="I19" s="412"/>
      <c r="J19" s="412"/>
      <c r="K19" s="412"/>
      <c r="L19" s="413"/>
      <c r="M19" s="428"/>
      <c r="N19" s="428"/>
      <c r="O19" s="428"/>
      <c r="P19" s="413"/>
      <c r="Q19" s="412"/>
      <c r="R19" s="412"/>
      <c r="S19" s="412"/>
      <c r="T19" s="413"/>
      <c r="U19" s="412"/>
      <c r="V19" s="412"/>
      <c r="Y19" s="412"/>
      <c r="AC19" s="427"/>
      <c r="AJ19" s="361"/>
      <c r="BP19" s="361"/>
      <c r="CX19" s="361"/>
    </row>
    <row r="20" spans="5:102" ht="15" customHeight="1" x14ac:dyDescent="0.45">
      <c r="E20" s="412"/>
      <c r="F20" s="412"/>
      <c r="G20" s="412"/>
      <c r="H20" s="413"/>
      <c r="I20" s="412"/>
      <c r="J20" s="412"/>
      <c r="K20" s="412"/>
      <c r="L20" s="413"/>
      <c r="M20" s="428"/>
      <c r="N20" s="428"/>
      <c r="O20" s="428"/>
      <c r="P20" s="413"/>
      <c r="Q20" s="412"/>
      <c r="R20" s="412"/>
      <c r="S20" s="412"/>
      <c r="T20" s="413"/>
      <c r="U20" s="412"/>
      <c r="V20" s="412"/>
      <c r="Y20" s="412"/>
      <c r="AJ20" s="361"/>
      <c r="AT20" s="773" t="s">
        <v>1314</v>
      </c>
      <c r="AU20" s="774"/>
      <c r="AV20" s="775"/>
      <c r="BP20" s="361"/>
      <c r="CX20" s="361"/>
    </row>
    <row r="21" spans="5:102" ht="15" customHeight="1" x14ac:dyDescent="0.45">
      <c r="E21" s="412"/>
      <c r="F21" s="412"/>
      <c r="G21" s="412"/>
      <c r="H21" s="413"/>
      <c r="I21" s="412"/>
      <c r="J21" s="412"/>
      <c r="K21" s="412"/>
      <c r="L21" s="413"/>
      <c r="M21" s="428"/>
      <c r="N21" s="428"/>
      <c r="O21" s="428"/>
      <c r="P21" s="413"/>
      <c r="Q21" s="412"/>
      <c r="R21" s="412"/>
      <c r="S21" s="412"/>
      <c r="T21" s="413"/>
      <c r="U21" s="412"/>
      <c r="V21" s="412"/>
      <c r="Y21" s="412"/>
      <c r="AJ21" s="361"/>
      <c r="AT21" s="776"/>
      <c r="AU21" s="777"/>
      <c r="AV21" s="778"/>
      <c r="BP21" s="361"/>
      <c r="CX21" s="361"/>
    </row>
    <row r="22" spans="5:102" ht="15" customHeight="1" x14ac:dyDescent="0.45">
      <c r="E22" s="412"/>
      <c r="F22" s="412"/>
      <c r="G22" s="412"/>
      <c r="H22" s="413"/>
      <c r="I22" s="412"/>
      <c r="J22" s="412"/>
      <c r="K22" s="412"/>
      <c r="L22" s="413"/>
      <c r="M22" s="428"/>
      <c r="N22" s="428"/>
      <c r="O22" s="428"/>
      <c r="P22" s="413"/>
      <c r="Q22" s="428"/>
      <c r="R22" s="428"/>
      <c r="S22" s="413"/>
      <c r="T22" s="412"/>
      <c r="U22" s="412"/>
      <c r="V22" s="412"/>
      <c r="Y22" s="413"/>
      <c r="AJ22" s="361"/>
      <c r="AT22" s="776"/>
      <c r="AU22" s="777"/>
      <c r="AV22" s="778"/>
      <c r="BP22" s="361"/>
      <c r="CX22" s="361"/>
    </row>
    <row r="23" spans="5:102" ht="15" customHeight="1" x14ac:dyDescent="0.45">
      <c r="E23" s="412"/>
      <c r="F23" s="412"/>
      <c r="G23" s="412"/>
      <c r="H23" s="413"/>
      <c r="I23" s="412"/>
      <c r="J23" s="412"/>
      <c r="K23" s="412"/>
      <c r="L23" s="413"/>
      <c r="M23" s="428"/>
      <c r="N23" s="428"/>
      <c r="O23" s="428"/>
      <c r="P23" s="413"/>
      <c r="Q23" s="428"/>
      <c r="R23" s="428"/>
      <c r="S23" s="413"/>
      <c r="T23" s="412"/>
      <c r="U23" s="412"/>
      <c r="V23" s="412"/>
      <c r="Y23" s="413"/>
      <c r="AJ23" s="361"/>
      <c r="AT23" s="779"/>
      <c r="AU23" s="780"/>
      <c r="AV23" s="781"/>
      <c r="BP23" s="361"/>
      <c r="CX23" s="361"/>
    </row>
    <row r="24" spans="5:102" ht="15" customHeight="1" x14ac:dyDescent="0.45">
      <c r="E24" s="412"/>
      <c r="F24" s="412"/>
      <c r="G24" s="412"/>
      <c r="H24" s="413"/>
      <c r="I24" s="412"/>
      <c r="J24" s="412"/>
      <c r="K24" s="412"/>
      <c r="L24" s="413"/>
      <c r="M24" s="428"/>
      <c r="N24" s="428"/>
      <c r="O24" s="428"/>
      <c r="V24" s="368"/>
      <c r="AJ24" s="361"/>
      <c r="BH24" t="s">
        <v>135</v>
      </c>
      <c r="BP24" s="361"/>
      <c r="CX24" s="361"/>
    </row>
    <row r="25" spans="5:102" ht="15" customHeight="1" x14ac:dyDescent="0.45">
      <c r="F25" s="368"/>
      <c r="H25" s="413"/>
      <c r="I25" s="412"/>
      <c r="J25" s="412"/>
      <c r="K25" s="412"/>
      <c r="L25" s="413"/>
      <c r="M25" s="428"/>
      <c r="N25" s="428"/>
      <c r="O25" s="428"/>
      <c r="AJ25" s="361"/>
      <c r="BP25" s="361"/>
      <c r="CX25" s="361"/>
    </row>
    <row r="26" spans="5:102" ht="15" customHeight="1" x14ac:dyDescent="0.45">
      <c r="F26" s="368"/>
      <c r="H26" s="413"/>
      <c r="I26" s="412"/>
      <c r="J26" s="412"/>
      <c r="K26" s="412"/>
      <c r="L26" s="413"/>
      <c r="M26" s="428"/>
      <c r="N26" s="428"/>
      <c r="O26" s="428"/>
      <c r="AJ26" s="361"/>
      <c r="BP26" s="361"/>
      <c r="CX26" s="361"/>
    </row>
    <row r="27" spans="5:102" ht="15" customHeight="1" x14ac:dyDescent="0.25">
      <c r="AJ27" s="361"/>
      <c r="BP27" s="361"/>
      <c r="CX27" s="361"/>
    </row>
    <row r="28" spans="5:102" ht="15" customHeight="1" x14ac:dyDescent="0.25">
      <c r="AJ28" s="361"/>
      <c r="BP28" s="361"/>
      <c r="CX28" s="361"/>
    </row>
    <row r="29" spans="5:102" ht="15" customHeight="1" x14ac:dyDescent="0.25">
      <c r="AJ29" s="361"/>
      <c r="BP29" s="361"/>
      <c r="CX29" s="361"/>
    </row>
    <row r="30" spans="5:102" ht="15" customHeight="1" x14ac:dyDescent="0.25">
      <c r="AJ30" s="361"/>
      <c r="BP30" s="361"/>
      <c r="CX30" s="361"/>
    </row>
    <row r="31" spans="5:102" ht="15" customHeight="1" x14ac:dyDescent="0.25">
      <c r="AJ31" s="361"/>
      <c r="BP31" s="361"/>
      <c r="CX31" s="361"/>
    </row>
    <row r="32" spans="5:102" ht="15" customHeight="1" x14ac:dyDescent="0.25">
      <c r="AJ32" s="361"/>
      <c r="BP32" s="361"/>
      <c r="CX32" s="361"/>
    </row>
    <row r="33" spans="5:102" ht="15" customHeight="1" x14ac:dyDescent="0.25">
      <c r="AJ33" s="361"/>
      <c r="BP33" s="361"/>
      <c r="CX33" s="361"/>
    </row>
    <row r="34" spans="5:102" ht="15" customHeight="1" x14ac:dyDescent="0.25">
      <c r="AJ34" s="361"/>
      <c r="BP34" s="361"/>
      <c r="CX34" s="361"/>
    </row>
    <row r="35" spans="5:102" ht="15" customHeight="1" x14ac:dyDescent="0.25">
      <c r="AJ35" s="361"/>
      <c r="BP35" s="361"/>
      <c r="CX35" s="361"/>
    </row>
    <row r="36" spans="5:102" ht="15" customHeight="1" x14ac:dyDescent="0.25">
      <c r="AJ36" s="361"/>
      <c r="BP36" s="361"/>
      <c r="CX36" s="361"/>
    </row>
    <row r="37" spans="5:102" ht="15" customHeight="1" x14ac:dyDescent="0.25">
      <c r="AJ37" s="361"/>
      <c r="BG37" s="773" t="s">
        <v>1315</v>
      </c>
      <c r="BH37" s="774"/>
      <c r="BI37" s="775"/>
      <c r="BP37" s="361"/>
      <c r="CX37" s="361"/>
    </row>
    <row r="38" spans="5:102" ht="15" customHeight="1" x14ac:dyDescent="0.25">
      <c r="AJ38" s="361"/>
      <c r="BG38" s="776"/>
      <c r="BH38" s="777"/>
      <c r="BI38" s="778"/>
      <c r="BP38" s="361"/>
      <c r="CX38" s="361"/>
    </row>
    <row r="39" spans="5:102" ht="15" customHeight="1" x14ac:dyDescent="0.25">
      <c r="AJ39" s="361"/>
      <c r="BG39" s="776"/>
      <c r="BH39" s="777"/>
      <c r="BI39" s="778"/>
      <c r="BP39" s="361"/>
      <c r="CX39" s="361"/>
    </row>
    <row r="40" spans="5:102" ht="15" customHeight="1" x14ac:dyDescent="0.25">
      <c r="AJ40" s="361"/>
      <c r="AM40" s="773" t="s">
        <v>1316</v>
      </c>
      <c r="AN40" s="775"/>
      <c r="BG40" s="779"/>
      <c r="BH40" s="780"/>
      <c r="BI40" s="781"/>
      <c r="BP40" s="361"/>
      <c r="CX40" s="361"/>
    </row>
    <row r="41" spans="5:102" ht="15" customHeight="1" x14ac:dyDescent="0.25">
      <c r="AJ41" s="361"/>
      <c r="AM41" s="776"/>
      <c r="AN41" s="778"/>
      <c r="BP41" s="361"/>
      <c r="CX41" s="361"/>
    </row>
    <row r="42" spans="5:102" ht="15" customHeight="1" x14ac:dyDescent="0.25">
      <c r="AJ42" s="361"/>
      <c r="AM42" s="779"/>
      <c r="AN42" s="781"/>
      <c r="BP42" s="361"/>
      <c r="CX42" s="361"/>
    </row>
    <row r="43" spans="5:102" ht="15" customHeight="1" x14ac:dyDescent="0.25">
      <c r="AJ43" s="361"/>
      <c r="BP43" s="361"/>
      <c r="CX43" s="361"/>
    </row>
    <row r="44" spans="5:102" ht="15" customHeight="1" x14ac:dyDescent="0.25">
      <c r="AJ44" s="361"/>
      <c r="BP44" s="361"/>
      <c r="CX44" s="361"/>
    </row>
    <row r="45" spans="5:102" ht="15" customHeight="1" x14ac:dyDescent="0.25">
      <c r="AJ45" s="361"/>
      <c r="BP45" s="361"/>
      <c r="CX45" s="361"/>
    </row>
    <row r="46" spans="5:102" ht="15" customHeight="1" x14ac:dyDescent="0.25">
      <c r="E46" s="429"/>
      <c r="AJ46" s="361"/>
      <c r="BP46" s="361"/>
      <c r="CX46" s="361"/>
    </row>
    <row r="47" spans="5:102" ht="15" customHeight="1" x14ac:dyDescent="0.25">
      <c r="AJ47" s="361"/>
      <c r="AM47" s="773" t="s">
        <v>1317</v>
      </c>
      <c r="AN47" s="775"/>
      <c r="BP47" s="361"/>
      <c r="CX47" s="361"/>
    </row>
    <row r="48" spans="5:102" ht="15" customHeight="1" x14ac:dyDescent="0.25">
      <c r="AJ48" s="361"/>
      <c r="AM48" s="776"/>
      <c r="AN48" s="778"/>
      <c r="BP48" s="361"/>
      <c r="CX48" s="361"/>
    </row>
    <row r="49" spans="36:102" ht="15" customHeight="1" x14ac:dyDescent="0.25">
      <c r="AJ49" s="361"/>
      <c r="AM49" s="779"/>
      <c r="AN49" s="781"/>
      <c r="BP49" s="361"/>
      <c r="CX49" s="361"/>
    </row>
    <row r="50" spans="36:102" ht="15" customHeight="1" x14ac:dyDescent="0.25">
      <c r="AJ50" s="361"/>
      <c r="BP50" s="361"/>
      <c r="CX50" s="361"/>
    </row>
    <row r="51" spans="36:102" ht="15" customHeight="1" x14ac:dyDescent="0.25">
      <c r="AJ51" s="361"/>
      <c r="BP51" s="361"/>
      <c r="CX51" s="361"/>
    </row>
    <row r="52" spans="36:102" ht="15" customHeight="1" x14ac:dyDescent="0.25">
      <c r="AJ52" s="361"/>
      <c r="AX52" s="773" t="s">
        <v>1318</v>
      </c>
      <c r="AY52" s="775"/>
      <c r="BP52" s="361"/>
      <c r="CX52" s="361"/>
    </row>
    <row r="53" spans="36:102" ht="15" customHeight="1" x14ac:dyDescent="0.25">
      <c r="AJ53" s="361"/>
      <c r="AX53" s="776"/>
      <c r="AY53" s="778"/>
      <c r="BP53" s="361"/>
      <c r="CX53" s="361"/>
    </row>
    <row r="54" spans="36:102" ht="15" customHeight="1" x14ac:dyDescent="0.25">
      <c r="AJ54" s="361"/>
      <c r="AX54" s="779"/>
      <c r="AY54" s="781"/>
      <c r="BP54" s="361"/>
      <c r="CX54" s="361"/>
    </row>
    <row r="55" spans="36:102" ht="15" customHeight="1" x14ac:dyDescent="0.25">
      <c r="AJ55" s="361"/>
      <c r="AT55" s="773" t="s">
        <v>1319</v>
      </c>
      <c r="AU55" s="775"/>
      <c r="BP55" s="361"/>
      <c r="CX55" s="361"/>
    </row>
    <row r="56" spans="36:102" ht="15" customHeight="1" x14ac:dyDescent="0.25">
      <c r="AJ56" s="361"/>
      <c r="AT56" s="776"/>
      <c r="AU56" s="778"/>
      <c r="BP56" s="361"/>
      <c r="CX56" s="361"/>
    </row>
    <row r="57" spans="36:102" ht="15" customHeight="1" x14ac:dyDescent="0.25">
      <c r="AJ57" s="361"/>
      <c r="AT57" s="779"/>
      <c r="AU57" s="781"/>
      <c r="BP57" s="361"/>
      <c r="CX57" s="361"/>
    </row>
    <row r="58" spans="36:102" ht="15" customHeight="1" x14ac:dyDescent="0.25">
      <c r="AJ58" s="361"/>
      <c r="BP58" s="361"/>
      <c r="CX58" s="361"/>
    </row>
    <row r="59" spans="36:102" ht="15" customHeight="1" x14ac:dyDescent="0.25">
      <c r="AJ59" s="361"/>
      <c r="BP59" s="361"/>
      <c r="CX59" s="361"/>
    </row>
    <row r="60" spans="36:102" ht="15" customHeight="1" x14ac:dyDescent="0.25">
      <c r="AJ60" s="361"/>
      <c r="BP60" s="361"/>
      <c r="CX60" s="361"/>
    </row>
    <row r="61" spans="36:102" ht="15" customHeight="1" x14ac:dyDescent="0.25">
      <c r="AJ61" s="361"/>
      <c r="AM61" s="773" t="s">
        <v>1320</v>
      </c>
      <c r="AN61" s="775"/>
      <c r="AW61" s="773" t="s">
        <v>1321</v>
      </c>
      <c r="AX61" s="774"/>
      <c r="AY61" s="800"/>
      <c r="BP61" s="361"/>
      <c r="CX61" s="361"/>
    </row>
    <row r="62" spans="36:102" ht="15" customHeight="1" x14ac:dyDescent="0.25">
      <c r="AJ62" s="361"/>
      <c r="AM62" s="776"/>
      <c r="AN62" s="778"/>
      <c r="AW62" s="776"/>
      <c r="AX62" s="777"/>
      <c r="AY62" s="801"/>
      <c r="BP62" s="361"/>
      <c r="CX62" s="361"/>
    </row>
    <row r="63" spans="36:102" ht="15" customHeight="1" x14ac:dyDescent="0.25">
      <c r="AJ63" s="361"/>
      <c r="AM63" s="779"/>
      <c r="AN63" s="781"/>
      <c r="AW63" s="779"/>
      <c r="AX63" s="780"/>
      <c r="AY63" s="802"/>
      <c r="BP63" s="361"/>
      <c r="CX63" s="361"/>
    </row>
    <row r="64" spans="36:102" ht="15" customHeight="1" x14ac:dyDescent="0.25">
      <c r="AJ64" s="361"/>
      <c r="BP64" s="361"/>
      <c r="CX64" s="361"/>
    </row>
    <row r="65" spans="36:102" ht="15" customHeight="1" x14ac:dyDescent="0.25">
      <c r="AJ65" s="361"/>
      <c r="BP65" s="361"/>
      <c r="CX65" s="361"/>
    </row>
    <row r="66" spans="36:102" ht="15" customHeight="1" x14ac:dyDescent="0.25">
      <c r="AJ66" s="361"/>
      <c r="BP66" s="361"/>
      <c r="CX66" s="361"/>
    </row>
    <row r="67" spans="36:102" ht="15" customHeight="1" x14ac:dyDescent="0.25">
      <c r="AJ67" s="361"/>
      <c r="BP67" s="361"/>
      <c r="CX67" s="361"/>
    </row>
    <row r="68" spans="36:102" ht="15" customHeight="1" x14ac:dyDescent="0.25">
      <c r="AJ68" s="361"/>
      <c r="BP68" s="361"/>
      <c r="CX68" s="361"/>
    </row>
    <row r="69" spans="36:102" ht="15" customHeight="1" x14ac:dyDescent="0.25">
      <c r="AJ69" s="361"/>
      <c r="BP69" s="361"/>
      <c r="CX69" s="361"/>
    </row>
    <row r="70" spans="36:102" ht="15" customHeight="1" x14ac:dyDescent="0.25">
      <c r="AJ70" s="361"/>
      <c r="BP70" s="361"/>
      <c r="CX70" s="361"/>
    </row>
    <row r="71" spans="36:102" ht="15" customHeight="1" x14ac:dyDescent="0.25">
      <c r="AJ71" s="361"/>
      <c r="BP71" s="361"/>
      <c r="CX71" s="361"/>
    </row>
    <row r="72" spans="36:102" ht="15" customHeight="1" x14ac:dyDescent="0.25">
      <c r="AJ72" s="361"/>
      <c r="BP72" s="361"/>
      <c r="CX72" s="361"/>
    </row>
    <row r="73" spans="36:102" ht="15" customHeight="1" x14ac:dyDescent="0.25">
      <c r="AJ73" s="361"/>
      <c r="BP73" s="361"/>
      <c r="CX73" s="361"/>
    </row>
    <row r="74" spans="36:102" ht="15" customHeight="1" x14ac:dyDescent="0.25">
      <c r="AJ74" s="361"/>
      <c r="BP74" s="361"/>
      <c r="CX74" s="361"/>
    </row>
    <row r="75" spans="36:102" ht="15" customHeight="1" x14ac:dyDescent="0.25">
      <c r="AJ75" s="361"/>
      <c r="AZ75" s="773" t="s">
        <v>1322</v>
      </c>
      <c r="BA75" s="774"/>
      <c r="BB75" s="775"/>
      <c r="BP75" s="361"/>
      <c r="CX75" s="361"/>
    </row>
    <row r="76" spans="36:102" ht="15" customHeight="1" x14ac:dyDescent="0.25">
      <c r="AJ76" s="361"/>
      <c r="AZ76" s="776"/>
      <c r="BA76" s="777"/>
      <c r="BB76" s="778"/>
      <c r="BP76" s="361"/>
      <c r="CX76" s="361"/>
    </row>
    <row r="77" spans="36:102" ht="15" customHeight="1" x14ac:dyDescent="0.25">
      <c r="AJ77" s="361"/>
      <c r="AZ77" s="779"/>
      <c r="BA77" s="780"/>
      <c r="BB77" s="781"/>
      <c r="BP77" s="361"/>
      <c r="CX77" s="361"/>
    </row>
    <row r="78" spans="36:102" ht="15" customHeight="1" x14ac:dyDescent="0.25">
      <c r="AJ78" s="361"/>
      <c r="BP78" s="361"/>
      <c r="CX78" s="361"/>
    </row>
    <row r="79" spans="36:102" ht="15" customHeight="1" x14ac:dyDescent="0.25">
      <c r="AJ79" s="361"/>
      <c r="BP79" s="361"/>
      <c r="CX79" s="361"/>
    </row>
    <row r="80" spans="36:102" ht="15" customHeight="1" x14ac:dyDescent="0.25">
      <c r="AJ80" s="361"/>
      <c r="BP80" s="361"/>
      <c r="CX80" s="361"/>
    </row>
    <row r="81" spans="36:102" ht="15" customHeight="1" x14ac:dyDescent="0.25">
      <c r="AJ81" s="361"/>
      <c r="BP81" s="361"/>
      <c r="BR81" s="764" t="s">
        <v>1323</v>
      </c>
      <c r="BS81" s="765"/>
      <c r="BT81" s="766"/>
      <c r="CX81" s="361"/>
    </row>
    <row r="82" spans="36:102" ht="15" customHeight="1" x14ac:dyDescent="0.25">
      <c r="AJ82" s="361"/>
      <c r="BP82" s="361"/>
      <c r="BR82" s="767"/>
      <c r="BS82" s="768"/>
      <c r="BT82" s="769"/>
      <c r="CX82" s="361"/>
    </row>
    <row r="83" spans="36:102" ht="15" customHeight="1" x14ac:dyDescent="0.25">
      <c r="AJ83" s="361"/>
      <c r="BP83" s="361"/>
      <c r="BR83" s="770"/>
      <c r="BS83" s="771"/>
      <c r="BT83" s="772"/>
      <c r="CX83" s="361"/>
    </row>
    <row r="84" spans="36:102" ht="15" customHeight="1" x14ac:dyDescent="0.25">
      <c r="AJ84" s="361"/>
      <c r="BP84" s="361"/>
      <c r="CX84" s="361"/>
    </row>
    <row r="85" spans="36:102" ht="15" customHeight="1" x14ac:dyDescent="0.25">
      <c r="AJ85" s="361"/>
      <c r="BP85" s="361"/>
      <c r="CX85" s="361"/>
    </row>
    <row r="86" spans="36:102" ht="15" customHeight="1" x14ac:dyDescent="0.25">
      <c r="AJ86" s="361"/>
      <c r="BP86" s="361"/>
      <c r="CX86" s="361"/>
    </row>
    <row r="87" spans="36:102" ht="15" customHeight="1" x14ac:dyDescent="0.25">
      <c r="AJ87" s="361"/>
      <c r="BP87" s="361"/>
      <c r="CX87" s="361"/>
    </row>
    <row r="88" spans="36:102" ht="15" customHeight="1" x14ac:dyDescent="0.25">
      <c r="AJ88" s="361"/>
      <c r="BP88" s="361"/>
      <c r="CX88" s="361"/>
    </row>
    <row r="89" spans="36:102" ht="15" customHeight="1" x14ac:dyDescent="0.25">
      <c r="AJ89" s="361"/>
      <c r="BP89" s="361"/>
      <c r="CX89" s="361"/>
    </row>
    <row r="90" spans="36:102" ht="15" customHeight="1" x14ac:dyDescent="0.25">
      <c r="AJ90" s="361"/>
      <c r="BP90" s="361"/>
      <c r="CX90" s="361"/>
    </row>
    <row r="91" spans="36:102" ht="15" customHeight="1" x14ac:dyDescent="0.25">
      <c r="AJ91" s="361"/>
      <c r="BP91" s="361"/>
      <c r="CX91" s="361"/>
    </row>
    <row r="92" spans="36:102" ht="15" customHeight="1" x14ac:dyDescent="0.25">
      <c r="AJ92" s="361"/>
      <c r="BP92" s="361"/>
      <c r="CX92" s="361"/>
    </row>
    <row r="93" spans="36:102" ht="15" customHeight="1" x14ac:dyDescent="0.25">
      <c r="AJ93" s="361"/>
      <c r="BP93" s="361"/>
      <c r="CX93" s="361"/>
    </row>
    <row r="94" spans="36:102" ht="15" customHeight="1" x14ac:dyDescent="0.25">
      <c r="AJ94" s="361"/>
      <c r="BP94" s="361"/>
      <c r="CX94" s="361"/>
    </row>
    <row r="95" spans="36:102" ht="15" customHeight="1" x14ac:dyDescent="0.25">
      <c r="AJ95" s="361"/>
      <c r="BP95" s="361"/>
      <c r="CX95" s="361"/>
    </row>
    <row r="96" spans="36:102" ht="15" customHeight="1" x14ac:dyDescent="0.25">
      <c r="AJ96" s="361"/>
      <c r="BP96" s="361"/>
      <c r="CX96" s="361"/>
    </row>
    <row r="97" spans="29:102" ht="15" customHeight="1" x14ac:dyDescent="0.25">
      <c r="AJ97" s="361"/>
      <c r="BP97" s="361"/>
      <c r="CX97" s="361"/>
    </row>
    <row r="98" spans="29:102" ht="15" customHeight="1" x14ac:dyDescent="0.25">
      <c r="AJ98" s="361"/>
      <c r="AT98" s="773" t="s">
        <v>1324</v>
      </c>
      <c r="AU98" s="774"/>
      <c r="AV98" s="775"/>
      <c r="BC98" s="773" t="s">
        <v>1325</v>
      </c>
      <c r="BD98" s="774"/>
      <c r="BE98" s="775"/>
      <c r="BP98" s="361"/>
      <c r="CX98" s="361"/>
    </row>
    <row r="99" spans="29:102" ht="15" customHeight="1" x14ac:dyDescent="0.25">
      <c r="AJ99" s="361"/>
      <c r="AT99" s="776"/>
      <c r="AU99" s="777"/>
      <c r="AV99" s="778"/>
      <c r="BC99" s="776"/>
      <c r="BD99" s="777"/>
      <c r="BE99" s="778"/>
      <c r="BP99" s="361"/>
      <c r="CX99" s="361"/>
    </row>
    <row r="100" spans="29:102" ht="15" customHeight="1" x14ac:dyDescent="0.25">
      <c r="AJ100" s="361"/>
      <c r="AT100" s="779"/>
      <c r="AU100" s="780"/>
      <c r="AV100" s="781"/>
      <c r="BC100" s="779"/>
      <c r="BD100" s="780"/>
      <c r="BE100" s="781"/>
      <c r="BP100" s="361"/>
      <c r="CX100" s="361"/>
    </row>
    <row r="101" spans="29:102" ht="15" customHeight="1" x14ac:dyDescent="0.25">
      <c r="AG101" s="430"/>
      <c r="AJ101" s="361"/>
      <c r="BP101" s="361"/>
      <c r="CX101" s="361"/>
    </row>
    <row r="102" spans="29:102" ht="15" customHeight="1" x14ac:dyDescent="0.25">
      <c r="AJ102" s="361"/>
      <c r="BP102" s="361"/>
      <c r="CX102" s="361"/>
    </row>
    <row r="103" spans="29:102" ht="15" customHeight="1" x14ac:dyDescent="0.25">
      <c r="AJ103" s="361"/>
      <c r="BP103" s="361"/>
      <c r="CX103" s="361"/>
    </row>
    <row r="104" spans="29:102" x14ac:dyDescent="0.25">
      <c r="AJ104" s="361"/>
      <c r="BP104" s="361"/>
      <c r="CX104" s="361"/>
    </row>
    <row r="105" spans="29:102" x14ac:dyDescent="0.25">
      <c r="AJ105" s="361"/>
      <c r="BP105" s="361"/>
      <c r="CX105" s="361"/>
    </row>
    <row r="106" spans="29:102" x14ac:dyDescent="0.25">
      <c r="AJ106" s="361"/>
      <c r="BP106" s="361"/>
      <c r="CX106" s="361"/>
    </row>
    <row r="107" spans="29:102" x14ac:dyDescent="0.25">
      <c r="AJ107" s="361"/>
      <c r="BP107" s="361"/>
      <c r="CX107" s="361"/>
    </row>
    <row r="108" spans="29:102" x14ac:dyDescent="0.25">
      <c r="AJ108" s="361"/>
      <c r="BP108" s="361"/>
      <c r="CX108" s="361"/>
    </row>
    <row r="109" spans="29:102" x14ac:dyDescent="0.25">
      <c r="AC109" s="427"/>
      <c r="AJ109" s="361"/>
      <c r="BP109" s="361"/>
      <c r="CX109" s="361"/>
    </row>
    <row r="110" spans="29:102" x14ac:dyDescent="0.25">
      <c r="AC110" s="427"/>
      <c r="AJ110" s="361"/>
      <c r="BP110" s="361"/>
      <c r="CX110" s="361"/>
    </row>
    <row r="111" spans="29:102" x14ac:dyDescent="0.25">
      <c r="AC111" s="427"/>
      <c r="AJ111" s="361"/>
      <c r="BP111" s="361"/>
      <c r="CX111" s="361"/>
    </row>
    <row r="112" spans="29:102" x14ac:dyDescent="0.25">
      <c r="AC112" s="427"/>
      <c r="AJ112" s="361"/>
      <c r="AL112" s="791" t="s">
        <v>1326</v>
      </c>
      <c r="AM112" s="792"/>
      <c r="AN112" s="793"/>
      <c r="BP112" s="361"/>
      <c r="CX112" s="361"/>
    </row>
    <row r="113" spans="29:102" x14ac:dyDescent="0.25">
      <c r="AC113" s="427"/>
      <c r="AJ113" s="361"/>
      <c r="AL113" s="794"/>
      <c r="AM113" s="795"/>
      <c r="AN113" s="796"/>
      <c r="BP113" s="361"/>
      <c r="CX113" s="361"/>
    </row>
    <row r="114" spans="29:102" x14ac:dyDescent="0.25">
      <c r="AE114" s="427"/>
      <c r="AJ114" s="361"/>
      <c r="AL114" s="797"/>
      <c r="AM114" s="798"/>
      <c r="AN114" s="799"/>
      <c r="BK114" s="791" t="s">
        <v>1327</v>
      </c>
      <c r="BL114" s="792"/>
      <c r="BM114" s="793"/>
      <c r="BP114" s="361"/>
      <c r="BQ114" s="361"/>
      <c r="BR114" s="361"/>
      <c r="BS114" s="361"/>
      <c r="BT114" s="361"/>
      <c r="BU114" s="361"/>
      <c r="BV114" s="361"/>
      <c r="BW114" s="361"/>
      <c r="BX114" s="361"/>
      <c r="BY114" s="361"/>
      <c r="BZ114" s="361"/>
      <c r="CA114" s="361"/>
      <c r="CB114" s="361"/>
      <c r="CC114" s="361"/>
      <c r="CD114" s="361"/>
      <c r="CE114" s="361"/>
      <c r="CF114" s="361"/>
      <c r="CG114" s="361"/>
      <c r="CH114" s="361"/>
      <c r="CI114" s="361"/>
      <c r="CJ114" s="361"/>
      <c r="CK114" s="361"/>
      <c r="CL114" s="361"/>
      <c r="CM114" s="361"/>
      <c r="CN114" s="361"/>
      <c r="CO114" s="361"/>
      <c r="CP114" s="361"/>
      <c r="CQ114" s="361"/>
      <c r="CR114" s="361"/>
      <c r="CS114" s="361"/>
      <c r="CT114" s="361"/>
      <c r="CU114" s="361"/>
      <c r="CV114" s="361"/>
      <c r="CW114" s="361"/>
      <c r="CX114" s="361"/>
    </row>
    <row r="115" spans="29:102" x14ac:dyDescent="0.25">
      <c r="AE115" s="427"/>
      <c r="AJ115" s="361"/>
      <c r="BK115" s="794"/>
      <c r="BL115" s="795"/>
      <c r="BM115" s="796"/>
      <c r="BP115" s="361"/>
    </row>
    <row r="116" spans="29:102" x14ac:dyDescent="0.25">
      <c r="AE116" s="427"/>
      <c r="AJ116" s="361"/>
      <c r="BK116" s="797"/>
      <c r="BL116" s="798"/>
      <c r="BM116" s="799"/>
      <c r="BP116" s="361"/>
    </row>
    <row r="117" spans="29:102" x14ac:dyDescent="0.25">
      <c r="AE117" s="427"/>
      <c r="AJ117" s="361"/>
      <c r="BP117" s="361"/>
    </row>
    <row r="118" spans="29:102" x14ac:dyDescent="0.25">
      <c r="AE118" s="427"/>
      <c r="AJ118" s="361"/>
      <c r="BP118" s="361"/>
    </row>
    <row r="119" spans="29:102" x14ac:dyDescent="0.25">
      <c r="AE119" s="427"/>
      <c r="AJ119" s="361"/>
      <c r="BP119" s="361"/>
    </row>
    <row r="120" spans="29:102" x14ac:dyDescent="0.25">
      <c r="AE120" s="427"/>
      <c r="AJ120" s="361"/>
      <c r="BP120" s="361"/>
    </row>
    <row r="121" spans="29:102" x14ac:dyDescent="0.25">
      <c r="AE121" s="427"/>
      <c r="AJ121" s="361"/>
      <c r="BP121" s="361"/>
    </row>
    <row r="122" spans="29:102" x14ac:dyDescent="0.25">
      <c r="AJ122" s="361"/>
      <c r="BP122" s="361"/>
    </row>
    <row r="123" spans="29:102" x14ac:dyDescent="0.25">
      <c r="AJ123" s="361"/>
      <c r="BP123" s="361"/>
    </row>
    <row r="124" spans="29:102" x14ac:dyDescent="0.25">
      <c r="AJ124" s="361"/>
      <c r="BP124" s="361"/>
    </row>
    <row r="125" spans="29:102" x14ac:dyDescent="0.25">
      <c r="AJ125" s="361"/>
      <c r="BP125" s="361"/>
    </row>
    <row r="126" spans="29:102" x14ac:dyDescent="0.25">
      <c r="AJ126" s="361"/>
      <c r="AP126" s="773" t="s">
        <v>1328</v>
      </c>
      <c r="AQ126" s="774"/>
      <c r="AR126" s="775"/>
      <c r="BP126" s="361"/>
    </row>
    <row r="127" spans="29:102" x14ac:dyDescent="0.25">
      <c r="AJ127" s="361"/>
      <c r="AP127" s="776"/>
      <c r="AQ127" s="777"/>
      <c r="AR127" s="778"/>
      <c r="BP127" s="361"/>
    </row>
    <row r="128" spans="29:102" x14ac:dyDescent="0.25">
      <c r="AJ128" s="361"/>
      <c r="AP128" s="779"/>
      <c r="AQ128" s="780"/>
      <c r="AR128" s="781"/>
      <c r="BP128" s="361"/>
    </row>
    <row r="129" spans="3:68" x14ac:dyDescent="0.25">
      <c r="C129" s="361"/>
      <c r="D129" s="361"/>
      <c r="E129" s="361"/>
      <c r="F129" s="361"/>
      <c r="G129" s="361"/>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361"/>
      <c r="AJ129" s="361"/>
      <c r="BP129" s="361"/>
    </row>
    <row r="130" spans="3:68" x14ac:dyDescent="0.25">
      <c r="AJ130" s="361"/>
      <c r="BP130" s="361"/>
    </row>
    <row r="131" spans="3:68" x14ac:dyDescent="0.25">
      <c r="AJ131" s="361"/>
      <c r="BP131" s="361"/>
    </row>
    <row r="132" spans="3:68" x14ac:dyDescent="0.25">
      <c r="AJ132" s="361"/>
      <c r="BP132" s="361"/>
    </row>
    <row r="133" spans="3:68" x14ac:dyDescent="0.25">
      <c r="AJ133" s="361"/>
      <c r="BP133" s="361"/>
    </row>
    <row r="134" spans="3:68" x14ac:dyDescent="0.25">
      <c r="AJ134" s="361"/>
      <c r="BP134" s="361"/>
    </row>
    <row r="135" spans="3:68" x14ac:dyDescent="0.25">
      <c r="AJ135" s="361"/>
      <c r="BP135" s="361"/>
    </row>
    <row r="136" spans="3:68" x14ac:dyDescent="0.25">
      <c r="AJ136" s="361"/>
      <c r="BP136" s="361"/>
    </row>
    <row r="137" spans="3:68" x14ac:dyDescent="0.25">
      <c r="AJ137" s="361"/>
      <c r="BP137" s="361"/>
    </row>
    <row r="138" spans="3:68" x14ac:dyDescent="0.25">
      <c r="AJ138" s="361"/>
      <c r="BP138" s="361"/>
    </row>
    <row r="139" spans="3:68" x14ac:dyDescent="0.25">
      <c r="AJ139" s="361"/>
      <c r="BP139" s="361"/>
    </row>
    <row r="140" spans="3:68" x14ac:dyDescent="0.25">
      <c r="AJ140" s="361"/>
      <c r="BP140" s="361"/>
    </row>
    <row r="141" spans="3:68" x14ac:dyDescent="0.25">
      <c r="AJ141" s="361"/>
      <c r="BP141" s="361"/>
    </row>
    <row r="142" spans="3:68" x14ac:dyDescent="0.25">
      <c r="AJ142" s="361"/>
      <c r="BP142" s="361"/>
    </row>
    <row r="143" spans="3:68" x14ac:dyDescent="0.25">
      <c r="AJ143" s="361"/>
      <c r="BP143" s="361"/>
    </row>
    <row r="144" spans="3:68" x14ac:dyDescent="0.25">
      <c r="AJ144" s="361"/>
      <c r="BP144" s="361"/>
    </row>
    <row r="145" spans="36:68" x14ac:dyDescent="0.25">
      <c r="AJ145" s="361"/>
      <c r="AK145" s="361"/>
      <c r="AL145" s="361"/>
      <c r="AM145" s="361"/>
      <c r="AN145" s="361"/>
      <c r="AO145" s="361"/>
      <c r="AP145" s="361"/>
      <c r="AQ145" s="361"/>
      <c r="AR145" s="361"/>
      <c r="AS145" s="361"/>
      <c r="AT145" s="361"/>
      <c r="AU145" s="361"/>
      <c r="AV145" s="361"/>
      <c r="AW145" s="361"/>
      <c r="AX145" s="361"/>
      <c r="AY145" s="361"/>
      <c r="AZ145" s="361"/>
      <c r="BA145" s="361"/>
      <c r="BB145" s="361"/>
      <c r="BC145" s="361"/>
      <c r="BD145" s="361"/>
      <c r="BE145" s="361"/>
      <c r="BF145" s="361"/>
      <c r="BG145" s="361"/>
      <c r="BH145" s="361"/>
      <c r="BI145" s="361"/>
      <c r="BJ145" s="361"/>
      <c r="BK145" s="361"/>
      <c r="BL145" s="361"/>
      <c r="BM145" s="361"/>
      <c r="BN145" s="361"/>
      <c r="BO145" s="361"/>
      <c r="BP145" s="361"/>
    </row>
  </sheetData>
  <mergeCells count="16">
    <mergeCell ref="AL112:AN114"/>
    <mergeCell ref="BK114:BM116"/>
    <mergeCell ref="AP126:AR128"/>
    <mergeCell ref="AT55:AU57"/>
    <mergeCell ref="AM61:AN63"/>
    <mergeCell ref="AW61:AY63"/>
    <mergeCell ref="AZ75:BB77"/>
    <mergeCell ref="BR81:BT83"/>
    <mergeCell ref="AT98:AV100"/>
    <mergeCell ref="BC98:BE100"/>
    <mergeCell ref="A1:C3"/>
    <mergeCell ref="AT20:AV23"/>
    <mergeCell ref="BG37:BI40"/>
    <mergeCell ref="AM40:AN42"/>
    <mergeCell ref="AM47:AN49"/>
    <mergeCell ref="AX52:AY5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94"/>
  <sheetViews>
    <sheetView zoomScale="90" zoomScaleNormal="90" workbookViewId="0">
      <pane ySplit="12" topLeftCell="A13" activePane="bottomLeft" state="frozen"/>
      <selection pane="bottomLeft" activeCell="J8" sqref="J8"/>
    </sheetView>
  </sheetViews>
  <sheetFormatPr defaultColWidth="8.85546875" defaultRowHeight="15" x14ac:dyDescent="0.25"/>
  <cols>
    <col min="1" max="1" width="5.85546875" style="29" customWidth="1"/>
    <col min="2" max="2" width="5" style="29" customWidth="1"/>
    <col min="3" max="3" width="5.140625" style="29" customWidth="1"/>
    <col min="4" max="6" width="11.5703125" style="29" customWidth="1"/>
    <col min="7" max="7" width="15.140625" style="29" customWidth="1"/>
    <col min="8" max="8" width="18.85546875" style="29" customWidth="1"/>
    <col min="9" max="9" width="27" style="29" customWidth="1"/>
    <col min="10" max="10" width="33" style="29" customWidth="1"/>
    <col min="11" max="11" width="19.140625" style="29" customWidth="1"/>
    <col min="12" max="13" width="20.42578125" style="29" customWidth="1"/>
    <col min="14" max="14" width="9.5703125" style="29" customWidth="1"/>
    <col min="15" max="15" width="38.7109375" style="29" customWidth="1"/>
    <col min="16" max="16" width="9" style="29" customWidth="1"/>
    <col min="17" max="17" width="7.28515625" style="29" customWidth="1"/>
    <col min="18" max="18" width="8.42578125" style="29" customWidth="1"/>
    <col min="19" max="20" width="6.85546875" style="29" customWidth="1"/>
    <col min="21" max="21" width="8.85546875" style="29" customWidth="1"/>
    <col min="22" max="22" width="10.28515625" style="29" customWidth="1"/>
    <col min="23" max="25" width="12.5703125" style="29" customWidth="1"/>
    <col min="26" max="26" width="15" style="29" customWidth="1"/>
    <col min="27" max="27" width="14.140625" style="29" customWidth="1"/>
    <col min="28" max="28" width="12.5703125" style="29" customWidth="1"/>
    <col min="29" max="29" width="7.28515625" style="29" customWidth="1"/>
    <col min="30" max="30" width="11.85546875" style="29" customWidth="1"/>
    <col min="31" max="31" width="13.28515625" style="29" customWidth="1"/>
    <col min="32" max="33" width="11.5703125" style="29" customWidth="1"/>
    <col min="34" max="34" width="8" style="29" customWidth="1"/>
    <col min="35" max="35" width="8.85546875" style="37" customWidth="1"/>
    <col min="36" max="36" width="11.85546875" style="37" customWidth="1"/>
    <col min="37" max="37" width="11.85546875" style="38" customWidth="1"/>
    <col min="38" max="39" width="13.42578125" style="38" customWidth="1"/>
    <col min="40" max="40" width="14.42578125" style="38" customWidth="1"/>
    <col min="41" max="41" width="17.28515625" style="38" customWidth="1"/>
    <col min="42" max="43" width="14.42578125" style="38" customWidth="1"/>
    <col min="44" max="44" width="26.7109375" style="38" customWidth="1"/>
    <col min="45" max="45" width="31" style="38" customWidth="1"/>
    <col min="46" max="46" width="15.85546875" style="79" customWidth="1"/>
    <col min="47" max="47" width="13.5703125" style="38" customWidth="1"/>
    <col min="48" max="48" width="13.5703125" style="77" customWidth="1"/>
    <col min="49" max="49" width="12.85546875" style="77" customWidth="1"/>
    <col min="50" max="51" width="12.85546875" style="29" customWidth="1"/>
    <col min="52" max="52" width="13.42578125" customWidth="1"/>
    <col min="53" max="56" width="12.28515625" style="29" customWidth="1"/>
    <col min="57" max="60" width="8.85546875" style="29"/>
    <col min="61" max="64" width="21.42578125" style="29" customWidth="1"/>
    <col min="65" max="16384" width="8.85546875" style="29"/>
  </cols>
  <sheetData>
    <row r="1" spans="1:64" ht="31.5" x14ac:dyDescent="0.5">
      <c r="A1" s="722" t="s">
        <v>96</v>
      </c>
      <c r="B1" s="723"/>
      <c r="C1" s="724"/>
      <c r="D1" s="151" t="s">
        <v>1179</v>
      </c>
      <c r="J1" s="27" t="s">
        <v>97</v>
      </c>
      <c r="V1" s="101" t="s">
        <v>97</v>
      </c>
      <c r="W1" s="102"/>
      <c r="X1" s="103"/>
      <c r="AC1" s="110" t="s">
        <v>98</v>
      </c>
      <c r="AE1" s="2"/>
      <c r="AF1" s="37"/>
      <c r="AG1" s="37"/>
      <c r="AH1" s="37"/>
      <c r="AI1" s="38"/>
      <c r="AJ1" s="38"/>
      <c r="AR1" s="79"/>
      <c r="AS1" s="79"/>
      <c r="AT1" s="77"/>
      <c r="AU1" s="77"/>
      <c r="AV1" s="29"/>
      <c r="AW1" s="29"/>
      <c r="AZ1" s="101" t="s">
        <v>97</v>
      </c>
      <c r="BA1" s="102"/>
      <c r="BB1" s="103"/>
      <c r="BH1" s="172" t="s">
        <v>99</v>
      </c>
      <c r="BI1" s="167" t="s">
        <v>100</v>
      </c>
      <c r="BJ1" s="167" t="s">
        <v>101</v>
      </c>
      <c r="BK1" s="167" t="s">
        <v>102</v>
      </c>
      <c r="BL1" s="167" t="s">
        <v>103</v>
      </c>
    </row>
    <row r="2" spans="1:64" ht="22.5" customHeight="1" x14ac:dyDescent="0.35">
      <c r="A2" s="725"/>
      <c r="B2" s="726"/>
      <c r="C2" s="727"/>
      <c r="E2" s="76" t="s">
        <v>104</v>
      </c>
      <c r="F2" s="76"/>
      <c r="G2" s="76"/>
      <c r="I2" s="76"/>
      <c r="J2" s="86" t="s">
        <v>105</v>
      </c>
      <c r="L2" s="305" t="s">
        <v>106</v>
      </c>
      <c r="V2" s="100" t="s">
        <v>105</v>
      </c>
      <c r="W2" s="91"/>
      <c r="X2" s="92"/>
      <c r="AA2" s="89" t="s">
        <v>107</v>
      </c>
      <c r="AC2" s="110" t="s">
        <v>108</v>
      </c>
      <c r="AE2" s="2"/>
      <c r="AF2" s="37"/>
      <c r="AG2" s="37"/>
      <c r="AH2" s="37"/>
      <c r="AI2" s="38"/>
      <c r="AJ2" s="38"/>
      <c r="AP2" s="78">
        <v>0.746</v>
      </c>
      <c r="AQ2" s="79" t="s">
        <v>109</v>
      </c>
      <c r="AR2" s="79"/>
      <c r="AS2" s="79"/>
      <c r="AT2" s="77"/>
      <c r="AU2" s="77"/>
      <c r="AV2" s="29"/>
      <c r="AW2" s="29"/>
      <c r="AZ2" s="100" t="s">
        <v>105</v>
      </c>
      <c r="BA2" s="91"/>
      <c r="BB2" s="92"/>
      <c r="BI2" s="29" t="s">
        <v>135</v>
      </c>
      <c r="BJ2" s="29">
        <v>1</v>
      </c>
      <c r="BK2" s="29" t="s">
        <v>110</v>
      </c>
      <c r="BL2" s="168" t="s">
        <v>111</v>
      </c>
    </row>
    <row r="3" spans="1:64" ht="22.5" customHeight="1" x14ac:dyDescent="0.25">
      <c r="A3" s="728"/>
      <c r="B3" s="729"/>
      <c r="C3" s="730"/>
      <c r="H3" s="88" t="s">
        <v>112</v>
      </c>
      <c r="J3" s="131" t="s">
        <v>113</v>
      </c>
      <c r="V3" s="171" t="s">
        <v>113</v>
      </c>
      <c r="W3" s="129"/>
      <c r="X3" s="130"/>
      <c r="Z3" s="164" t="s">
        <v>114</v>
      </c>
      <c r="AA3" s="165">
        <v>0.4</v>
      </c>
      <c r="AC3" s="110" t="s">
        <v>115</v>
      </c>
      <c r="AE3" s="2"/>
      <c r="AF3" s="37"/>
      <c r="AG3" s="37"/>
      <c r="AH3" s="37"/>
      <c r="AI3" s="38"/>
      <c r="AJ3" s="38"/>
      <c r="AP3" s="80">
        <v>0.9</v>
      </c>
      <c r="AQ3" s="79" t="s">
        <v>116</v>
      </c>
      <c r="AR3" s="79"/>
      <c r="AS3" s="79"/>
      <c r="AT3" s="77"/>
      <c r="AU3" s="77"/>
      <c r="AV3" s="29"/>
      <c r="AW3" s="29"/>
      <c r="AZ3" s="171" t="s">
        <v>113</v>
      </c>
      <c r="BA3" s="129"/>
      <c r="BB3" s="130"/>
      <c r="BJ3" s="29">
        <v>3</v>
      </c>
      <c r="BK3" s="29" t="s">
        <v>117</v>
      </c>
      <c r="BL3" s="29" t="s">
        <v>118</v>
      </c>
    </row>
    <row r="4" spans="1:64" ht="22.5" customHeight="1" x14ac:dyDescent="0.25">
      <c r="J4" s="113" t="s">
        <v>119</v>
      </c>
      <c r="V4" s="114" t="s">
        <v>119</v>
      </c>
      <c r="W4" s="115"/>
      <c r="X4" s="116"/>
      <c r="Z4" s="164" t="s">
        <v>120</v>
      </c>
      <c r="AA4" s="165">
        <v>0.6</v>
      </c>
      <c r="AC4" s="110" t="s">
        <v>121</v>
      </c>
      <c r="AE4" s="2"/>
      <c r="AF4" s="37"/>
      <c r="AG4" s="37"/>
      <c r="AH4" s="37"/>
      <c r="AI4" s="38"/>
      <c r="AJ4" s="38"/>
      <c r="AO4" s="38" t="s">
        <v>122</v>
      </c>
      <c r="AP4" s="80">
        <v>1</v>
      </c>
      <c r="AQ4" s="79" t="s">
        <v>123</v>
      </c>
      <c r="AR4" s="79"/>
      <c r="AS4" s="79"/>
      <c r="AT4" s="77"/>
      <c r="AU4" s="77"/>
      <c r="AV4" s="29"/>
      <c r="AW4" s="29"/>
      <c r="AZ4" s="114" t="s">
        <v>119</v>
      </c>
      <c r="BA4" s="115"/>
      <c r="BB4" s="116"/>
      <c r="BK4" s="29" t="s">
        <v>124</v>
      </c>
    </row>
    <row r="5" spans="1:64" ht="22.5" customHeight="1" x14ac:dyDescent="0.25">
      <c r="H5" s="45" t="s">
        <v>125</v>
      </c>
      <c r="I5" s="191">
        <f>AN540+AO540</f>
        <v>62094611.051093683</v>
      </c>
      <c r="J5" s="34" t="s">
        <v>126</v>
      </c>
      <c r="AC5" s="110" t="s">
        <v>127</v>
      </c>
      <c r="AE5" s="2"/>
      <c r="AF5" s="37"/>
      <c r="AG5" s="37"/>
      <c r="AH5" s="37"/>
      <c r="AI5" s="38"/>
      <c r="AJ5" s="38"/>
      <c r="AP5" s="29"/>
      <c r="AQ5" s="29"/>
      <c r="AR5" s="79"/>
      <c r="AS5" s="79"/>
      <c r="AT5" s="29"/>
      <c r="AU5" s="77"/>
      <c r="AV5" s="287" t="s">
        <v>128</v>
      </c>
      <c r="AW5" s="29"/>
      <c r="BK5" s="29" t="s">
        <v>129</v>
      </c>
    </row>
    <row r="6" spans="1:64" ht="22.5" customHeight="1" x14ac:dyDescent="0.25">
      <c r="H6" s="45" t="s">
        <v>130</v>
      </c>
      <c r="I6" s="154">
        <f>'4_Utility Data'!F137</f>
        <v>52686646.879999995</v>
      </c>
      <c r="J6" s="34" t="s">
        <v>126</v>
      </c>
      <c r="Q6" s="284" t="s">
        <v>131</v>
      </c>
      <c r="Z6" s="81" t="s">
        <v>132</v>
      </c>
      <c r="AA6" s="137" t="s">
        <v>133</v>
      </c>
      <c r="AB6" s="150" t="s">
        <v>134</v>
      </c>
      <c r="AC6" s="110" t="s">
        <v>135</v>
      </c>
      <c r="AE6" s="2"/>
      <c r="AF6" s="37"/>
      <c r="AG6" s="37"/>
      <c r="AH6" s="37"/>
      <c r="AI6" s="38"/>
      <c r="AJ6" s="38"/>
      <c r="AP6" s="121" t="s">
        <v>136</v>
      </c>
      <c r="AQ6" s="121" t="s">
        <v>136</v>
      </c>
      <c r="AR6" s="79"/>
      <c r="AS6" s="79"/>
      <c r="AT6" s="29"/>
      <c r="AU6" s="77"/>
      <c r="AV6" s="287" t="s">
        <v>137</v>
      </c>
      <c r="AW6" s="29"/>
    </row>
    <row r="7" spans="1:64" ht="22.5" customHeight="1" x14ac:dyDescent="0.25">
      <c r="F7" s="87" t="s">
        <v>138</v>
      </c>
      <c r="G7" s="87"/>
      <c r="H7" s="156">
        <v>2022</v>
      </c>
      <c r="J7" s="27"/>
      <c r="S7" s="285" t="s">
        <v>139</v>
      </c>
      <c r="T7" s="286"/>
      <c r="U7" s="286"/>
      <c r="V7" s="286"/>
      <c r="Y7" s="50" t="s">
        <v>140</v>
      </c>
      <c r="Z7" s="148">
        <v>8760</v>
      </c>
      <c r="AA7" s="149">
        <v>7200</v>
      </c>
      <c r="AB7" s="173">
        <f>AA7/Z7</f>
        <v>0.82191780821917804</v>
      </c>
      <c r="AC7" s="136" t="s">
        <v>141</v>
      </c>
      <c r="AE7" s="2"/>
      <c r="AF7" s="37"/>
      <c r="AG7" s="37"/>
      <c r="AH7" s="37"/>
      <c r="AI7" s="38"/>
      <c r="AJ7" s="38"/>
      <c r="AP7" s="122">
        <v>3412.14</v>
      </c>
      <c r="AQ7" s="122">
        <v>3412.14</v>
      </c>
      <c r="AR7" s="128">
        <f>5000/8760</f>
        <v>0.57077625570776258</v>
      </c>
      <c r="AS7" s="128"/>
      <c r="AT7" s="29"/>
      <c r="AU7" s="77"/>
      <c r="AV7" s="287" t="s">
        <v>142</v>
      </c>
      <c r="AW7" s="29"/>
      <c r="BA7" s="147" t="s">
        <v>143</v>
      </c>
      <c r="BB7" s="147" t="s">
        <v>144</v>
      </c>
    </row>
    <row r="8" spans="1:64" ht="18.75" x14ac:dyDescent="0.25">
      <c r="H8" s="50" t="s">
        <v>145</v>
      </c>
      <c r="I8" s="152">
        <f>I5-I6</f>
        <v>9407964.1710936874</v>
      </c>
      <c r="J8" s="153">
        <f>I8/I6</f>
        <v>0.17856448888314011</v>
      </c>
      <c r="S8" s="241" t="s">
        <v>146</v>
      </c>
      <c r="U8" s="241" t="s">
        <v>146</v>
      </c>
      <c r="V8" s="241" t="s">
        <v>146</v>
      </c>
      <c r="AC8" s="110" t="s">
        <v>147</v>
      </c>
      <c r="AF8" s="37"/>
      <c r="AG8" s="37"/>
      <c r="AH8" s="37"/>
      <c r="AI8" s="38"/>
      <c r="AJ8" s="38"/>
      <c r="AP8" s="123" t="s">
        <v>148</v>
      </c>
      <c r="AQ8" s="124"/>
      <c r="AR8" s="79"/>
      <c r="AS8" s="79"/>
      <c r="AT8" s="29"/>
      <c r="AU8" s="77"/>
      <c r="AV8" s="287" t="s">
        <v>149</v>
      </c>
      <c r="AW8" s="29"/>
      <c r="BA8" s="147" t="s">
        <v>150</v>
      </c>
      <c r="BB8" s="147" t="s">
        <v>151</v>
      </c>
      <c r="BC8" s="147" t="s">
        <v>150</v>
      </c>
      <c r="BD8" s="147" t="s">
        <v>151</v>
      </c>
    </row>
    <row r="9" spans="1:64" ht="15.75" x14ac:dyDescent="0.25">
      <c r="A9" s="96" t="s">
        <v>152</v>
      </c>
      <c r="B9" s="94"/>
      <c r="C9" s="95"/>
      <c r="G9" s="304" t="s">
        <v>153</v>
      </c>
      <c r="H9" s="304" t="s">
        <v>154</v>
      </c>
      <c r="L9" s="304" t="s">
        <v>155</v>
      </c>
      <c r="M9" s="304" t="s">
        <v>156</v>
      </c>
      <c r="Q9" s="93" t="s">
        <v>157</v>
      </c>
      <c r="R9" s="94"/>
      <c r="S9" s="94"/>
      <c r="T9" s="94"/>
      <c r="U9" s="94"/>
      <c r="V9" s="94"/>
      <c r="W9" s="94"/>
      <c r="X9" s="94"/>
      <c r="Y9" s="94"/>
      <c r="Z9" s="94"/>
      <c r="AA9" s="94"/>
      <c r="AB9" s="94"/>
      <c r="AC9" s="131" t="s">
        <v>158</v>
      </c>
      <c r="AD9" s="166" t="s">
        <v>159</v>
      </c>
      <c r="AE9" s="126" t="s">
        <v>160</v>
      </c>
      <c r="AF9" s="37"/>
      <c r="AG9" s="134" t="s">
        <v>161</v>
      </c>
      <c r="AH9" s="134" t="s">
        <v>150</v>
      </c>
      <c r="AI9" s="134" t="s">
        <v>151</v>
      </c>
      <c r="AJ9" s="117" t="s">
        <v>150</v>
      </c>
      <c r="AK9" s="117" t="s">
        <v>151</v>
      </c>
      <c r="AL9" s="118" t="s">
        <v>150</v>
      </c>
      <c r="AM9" s="118" t="s">
        <v>151</v>
      </c>
      <c r="AN9" s="118" t="s">
        <v>150</v>
      </c>
      <c r="AO9" s="118" t="s">
        <v>151</v>
      </c>
      <c r="AP9" s="118" t="s">
        <v>150</v>
      </c>
      <c r="AQ9" s="118" t="s">
        <v>151</v>
      </c>
      <c r="AR9" s="79"/>
      <c r="AS9" s="79"/>
      <c r="AT9" s="82" t="s">
        <v>162</v>
      </c>
      <c r="AU9" s="108"/>
      <c r="AV9" s="90"/>
      <c r="AW9" s="140" t="s">
        <v>163</v>
      </c>
      <c r="AX9" s="141"/>
      <c r="AY9" s="142"/>
      <c r="AZ9" s="142"/>
      <c r="BA9" s="143" t="s">
        <v>164</v>
      </c>
      <c r="BB9" s="143" t="s">
        <v>164</v>
      </c>
      <c r="BC9" s="143" t="s">
        <v>165</v>
      </c>
      <c r="BD9" s="144" t="s">
        <v>165</v>
      </c>
    </row>
    <row r="10" spans="1:64" ht="18.75" x14ac:dyDescent="0.25">
      <c r="A10" s="81" t="s">
        <v>166</v>
      </c>
      <c r="B10" s="81" t="s">
        <v>167</v>
      </c>
      <c r="C10" s="81" t="s">
        <v>168</v>
      </c>
      <c r="D10" s="81" t="s">
        <v>169</v>
      </c>
      <c r="E10" s="81" t="s">
        <v>170</v>
      </c>
      <c r="F10" s="81" t="s">
        <v>171</v>
      </c>
      <c r="G10" s="304" t="s">
        <v>172</v>
      </c>
      <c r="H10" s="304" t="s">
        <v>173</v>
      </c>
      <c r="I10" s="81" t="s">
        <v>174</v>
      </c>
      <c r="J10" s="81" t="s">
        <v>175</v>
      </c>
      <c r="K10" s="81" t="s">
        <v>176</v>
      </c>
      <c r="L10" s="304" t="s">
        <v>177</v>
      </c>
      <c r="M10" s="304" t="s">
        <v>178</v>
      </c>
      <c r="N10" s="81" t="s">
        <v>179</v>
      </c>
      <c r="O10" s="81" t="s">
        <v>180</v>
      </c>
      <c r="P10" s="81" t="s">
        <v>181</v>
      </c>
      <c r="Q10" s="105" t="s">
        <v>182</v>
      </c>
      <c r="R10" s="106" t="s">
        <v>183</v>
      </c>
      <c r="S10" s="105" t="s">
        <v>184</v>
      </c>
      <c r="T10" s="105" t="s">
        <v>185</v>
      </c>
      <c r="U10" s="105" t="s">
        <v>186</v>
      </c>
      <c r="V10" s="105" t="s">
        <v>187</v>
      </c>
      <c r="W10" s="105" t="s">
        <v>188</v>
      </c>
      <c r="X10" s="105" t="s">
        <v>189</v>
      </c>
      <c r="Y10" s="105" t="s">
        <v>190</v>
      </c>
      <c r="Z10" s="105" t="s">
        <v>191</v>
      </c>
      <c r="AA10" s="105" t="s">
        <v>192</v>
      </c>
      <c r="AB10" s="105" t="s">
        <v>193</v>
      </c>
      <c r="AC10" s="131" t="s">
        <v>194</v>
      </c>
      <c r="AD10" s="169" t="s">
        <v>195</v>
      </c>
      <c r="AE10" s="127" t="s">
        <v>196</v>
      </c>
      <c r="AF10" s="133" t="s">
        <v>197</v>
      </c>
      <c r="AG10" s="133" t="s">
        <v>134</v>
      </c>
      <c r="AH10" s="134" t="s">
        <v>198</v>
      </c>
      <c r="AI10" s="134" t="s">
        <v>198</v>
      </c>
      <c r="AJ10" s="119" t="s">
        <v>199</v>
      </c>
      <c r="AK10" s="119" t="s">
        <v>199</v>
      </c>
      <c r="AL10" s="119" t="s">
        <v>200</v>
      </c>
      <c r="AM10" s="119" t="s">
        <v>200</v>
      </c>
      <c r="AN10" s="119" t="s">
        <v>126</v>
      </c>
      <c r="AO10" s="119" t="s">
        <v>126</v>
      </c>
      <c r="AP10" s="120" t="s">
        <v>201</v>
      </c>
      <c r="AQ10" s="120" t="s">
        <v>201</v>
      </c>
      <c r="AR10" s="82" t="s">
        <v>202</v>
      </c>
      <c r="AS10" s="180" t="s">
        <v>203</v>
      </c>
      <c r="AT10" s="109" t="s">
        <v>204</v>
      </c>
      <c r="AU10" s="109" t="s">
        <v>205</v>
      </c>
      <c r="AV10" s="288" t="s">
        <v>206</v>
      </c>
      <c r="AW10" s="145" t="s">
        <v>207</v>
      </c>
      <c r="AX10" s="145" t="s">
        <v>208</v>
      </c>
      <c r="AY10" s="146" t="s">
        <v>209</v>
      </c>
      <c r="AZ10" s="146" t="s">
        <v>210</v>
      </c>
      <c r="BA10" s="146" t="s">
        <v>126</v>
      </c>
      <c r="BB10" s="146" t="s">
        <v>126</v>
      </c>
      <c r="BC10" s="146" t="s">
        <v>126</v>
      </c>
      <c r="BD10" s="145" t="s">
        <v>126</v>
      </c>
    </row>
    <row r="11" spans="1:64" ht="21" customHeight="1" x14ac:dyDescent="0.25">
      <c r="A11" s="53">
        <v>1</v>
      </c>
      <c r="B11" s="53"/>
      <c r="C11" s="53"/>
      <c r="D11" s="53" t="s">
        <v>135</v>
      </c>
      <c r="E11" s="53"/>
      <c r="F11" s="53"/>
      <c r="G11" s="53" t="s">
        <v>290</v>
      </c>
      <c r="H11" s="53" t="s">
        <v>291</v>
      </c>
      <c r="I11" s="85" t="s">
        <v>452</v>
      </c>
      <c r="J11" s="85" t="s">
        <v>453</v>
      </c>
      <c r="K11" s="85" t="s">
        <v>294</v>
      </c>
      <c r="L11" s="53" t="s">
        <v>216</v>
      </c>
      <c r="M11" s="53" t="s">
        <v>295</v>
      </c>
      <c r="N11" s="53"/>
      <c r="O11" s="97" t="s">
        <v>454</v>
      </c>
      <c r="P11" s="53">
        <v>1</v>
      </c>
      <c r="Q11" s="183">
        <v>40</v>
      </c>
      <c r="R11" s="84">
        <v>0.89250000000000007</v>
      </c>
      <c r="S11" s="53">
        <v>49</v>
      </c>
      <c r="T11" s="53"/>
      <c r="U11" s="53">
        <v>3</v>
      </c>
      <c r="V11" s="53">
        <v>480</v>
      </c>
      <c r="W11" s="53"/>
      <c r="X11" s="53"/>
      <c r="Y11" s="53"/>
      <c r="Z11" s="53"/>
      <c r="AA11" s="53"/>
      <c r="AB11" s="53"/>
      <c r="AC11" s="137" t="s">
        <v>124</v>
      </c>
      <c r="AD11" s="138" t="s">
        <v>118</v>
      </c>
      <c r="AE11" s="83">
        <v>8760</v>
      </c>
      <c r="AF11" s="139">
        <v>1</v>
      </c>
      <c r="AG11" s="139">
        <f t="shared" ref="AG11:AG42" si="0">$AB$7</f>
        <v>0.82191780821917804</v>
      </c>
      <c r="AH11" s="139">
        <v>0.6</v>
      </c>
      <c r="AI11" s="139">
        <v>0.6</v>
      </c>
      <c r="AJ11" s="83">
        <f t="shared" ref="AJ11:AJ74" si="1">$AE11*AG11*$AA$3</f>
        <v>2880</v>
      </c>
      <c r="AK11" s="83">
        <f t="shared" ref="AK11:AK74" si="2">$AE11*AG11*$AA$4</f>
        <v>4320</v>
      </c>
      <c r="AL11" s="104">
        <f t="shared" ref="AL11:AL74" si="3">IF($Q11&gt;0,((($P11*$Q11*$AP$2/$R11)*$AH11)),IF($U11=1,($AV11*$AF11*$AH11),((1.732*($V11/1000)*$S11*$AP$3*$AF11*$AH11*$P11))))</f>
        <v>20.060504201680669</v>
      </c>
      <c r="AM11" s="104">
        <f t="shared" ref="AM11:AM74" si="4">IF($Q11&gt;0,((($P11*$Q11*$AP$2/$R11)*$AI11)),IF($U11=1,($AV11*$AF11*$AI11),((1.732*($V11/1000)*$S11*$AP$3*$AF11*$AI11*$P11))))</f>
        <v>20.060504201680669</v>
      </c>
      <c r="AN11" s="83">
        <f t="shared" ref="AN11:AN74" si="5">AL11*AJ11</f>
        <v>57774.252100840327</v>
      </c>
      <c r="AO11" s="83">
        <f t="shared" ref="AO11:AO74" si="6">AM11*AK11</f>
        <v>86661.378151260491</v>
      </c>
      <c r="AP11" s="182">
        <f t="shared" ref="AP11:AP74" si="7">AN11*$AP$7/1000000</f>
        <v>197.13383656336131</v>
      </c>
      <c r="AQ11" s="182">
        <f t="shared" ref="AQ11:AQ74" si="8">AO11*$AQ$7/1000000</f>
        <v>295.70075484504201</v>
      </c>
      <c r="AR11" s="85"/>
      <c r="AS11" s="85"/>
      <c r="AT11" s="53"/>
      <c r="AU11" s="53"/>
      <c r="AV11" s="53"/>
      <c r="AW11" s="53"/>
      <c r="AX11" s="53"/>
      <c r="AY11" s="53"/>
      <c r="AZ11" s="53"/>
      <c r="BA11" s="53"/>
      <c r="BB11" s="53"/>
      <c r="BC11" s="111">
        <f t="shared" ref="BC11:BC74" si="9">AN11</f>
        <v>57774.252100840327</v>
      </c>
      <c r="BD11" s="111">
        <f t="shared" ref="BD11:BD74" si="10">AO11</f>
        <v>86661.378151260491</v>
      </c>
    </row>
    <row r="12" spans="1:64" ht="21" customHeight="1" x14ac:dyDescent="0.25">
      <c r="A12" s="53">
        <v>2</v>
      </c>
      <c r="B12" s="53"/>
      <c r="C12" s="53"/>
      <c r="D12" s="53" t="s">
        <v>135</v>
      </c>
      <c r="E12" s="53"/>
      <c r="F12" s="53"/>
      <c r="G12" s="53" t="s">
        <v>290</v>
      </c>
      <c r="H12" s="53" t="s">
        <v>291</v>
      </c>
      <c r="I12" s="85" t="s">
        <v>366</v>
      </c>
      <c r="J12" s="85" t="s">
        <v>453</v>
      </c>
      <c r="K12" s="85" t="s">
        <v>365</v>
      </c>
      <c r="L12" s="53" t="s">
        <v>216</v>
      </c>
      <c r="M12" s="53" t="s">
        <v>295</v>
      </c>
      <c r="N12" s="53"/>
      <c r="O12" s="97" t="s">
        <v>492</v>
      </c>
      <c r="P12" s="53">
        <v>1</v>
      </c>
      <c r="Q12" s="184">
        <v>20</v>
      </c>
      <c r="R12" s="99">
        <v>0.89700000000000002</v>
      </c>
      <c r="S12" s="98">
        <v>27</v>
      </c>
      <c r="T12" s="98"/>
      <c r="U12" s="53">
        <v>3</v>
      </c>
      <c r="V12" s="53">
        <v>480</v>
      </c>
      <c r="W12" s="53"/>
      <c r="X12" s="98"/>
      <c r="Y12" s="98"/>
      <c r="Z12" s="98"/>
      <c r="AA12" s="98"/>
      <c r="AB12" s="98"/>
      <c r="AC12" s="137" t="s">
        <v>124</v>
      </c>
      <c r="AD12" s="138" t="s">
        <v>118</v>
      </c>
      <c r="AE12" s="83">
        <v>8760</v>
      </c>
      <c r="AF12" s="139">
        <v>1</v>
      </c>
      <c r="AG12" s="139">
        <f t="shared" si="0"/>
        <v>0.82191780821917804</v>
      </c>
      <c r="AH12" s="139">
        <v>0.6</v>
      </c>
      <c r="AI12" s="139">
        <v>0.6</v>
      </c>
      <c r="AJ12" s="83">
        <f t="shared" si="1"/>
        <v>2880</v>
      </c>
      <c r="AK12" s="83">
        <f t="shared" si="2"/>
        <v>4320</v>
      </c>
      <c r="AL12" s="104">
        <f t="shared" si="3"/>
        <v>9.9799331103678917</v>
      </c>
      <c r="AM12" s="104">
        <f t="shared" si="4"/>
        <v>9.9799331103678917</v>
      </c>
      <c r="AN12" s="83">
        <f t="shared" si="5"/>
        <v>28742.207357859526</v>
      </c>
      <c r="AO12" s="83">
        <f t="shared" si="6"/>
        <v>43113.311036789295</v>
      </c>
      <c r="AP12" s="182">
        <f t="shared" si="7"/>
        <v>98.072435414046794</v>
      </c>
      <c r="AQ12" s="182">
        <f t="shared" si="8"/>
        <v>147.1086531210702</v>
      </c>
      <c r="AR12" s="85"/>
      <c r="AS12" s="85"/>
      <c r="AT12" s="53"/>
      <c r="AU12" s="53"/>
      <c r="AV12" s="53"/>
      <c r="AW12" s="53"/>
      <c r="AX12" s="53"/>
      <c r="AY12" s="53"/>
      <c r="AZ12" s="53"/>
      <c r="BA12" s="53"/>
      <c r="BB12" s="53"/>
      <c r="BC12" s="111">
        <f t="shared" si="9"/>
        <v>28742.207357859526</v>
      </c>
      <c r="BD12" s="111">
        <f t="shared" si="10"/>
        <v>43113.311036789295</v>
      </c>
    </row>
    <row r="13" spans="1:64" ht="21" customHeight="1" x14ac:dyDescent="0.25">
      <c r="A13" s="53">
        <v>3</v>
      </c>
      <c r="B13" s="53"/>
      <c r="C13" s="53"/>
      <c r="D13" s="53" t="s">
        <v>135</v>
      </c>
      <c r="E13" s="53"/>
      <c r="F13" s="53"/>
      <c r="G13" s="53" t="s">
        <v>290</v>
      </c>
      <c r="H13" s="53" t="s">
        <v>291</v>
      </c>
      <c r="I13" s="85" t="s">
        <v>366</v>
      </c>
      <c r="J13" s="85" t="s">
        <v>453</v>
      </c>
      <c r="K13" s="85" t="s">
        <v>365</v>
      </c>
      <c r="L13" s="53" t="s">
        <v>216</v>
      </c>
      <c r="M13" s="53" t="s">
        <v>295</v>
      </c>
      <c r="N13" s="53"/>
      <c r="O13" s="97" t="s">
        <v>493</v>
      </c>
      <c r="P13" s="53">
        <v>1</v>
      </c>
      <c r="Q13" s="184">
        <v>20</v>
      </c>
      <c r="R13" s="99">
        <v>0.89700000000000002</v>
      </c>
      <c r="S13" s="98">
        <v>27</v>
      </c>
      <c r="T13" s="98"/>
      <c r="U13" s="53">
        <v>3</v>
      </c>
      <c r="V13" s="53">
        <v>480</v>
      </c>
      <c r="W13" s="53"/>
      <c r="X13" s="98"/>
      <c r="Y13" s="98"/>
      <c r="Z13" s="98"/>
      <c r="AA13" s="98"/>
      <c r="AB13" s="98"/>
      <c r="AC13" s="137" t="s">
        <v>124</v>
      </c>
      <c r="AD13" s="138" t="s">
        <v>118</v>
      </c>
      <c r="AE13" s="83">
        <v>8760</v>
      </c>
      <c r="AF13" s="139">
        <v>1</v>
      </c>
      <c r="AG13" s="139">
        <f t="shared" si="0"/>
        <v>0.82191780821917804</v>
      </c>
      <c r="AH13" s="139">
        <v>0.6</v>
      </c>
      <c r="AI13" s="139">
        <v>0.6</v>
      </c>
      <c r="AJ13" s="83">
        <f t="shared" si="1"/>
        <v>2880</v>
      </c>
      <c r="AK13" s="83">
        <f t="shared" si="2"/>
        <v>4320</v>
      </c>
      <c r="AL13" s="104">
        <f t="shared" si="3"/>
        <v>9.9799331103678917</v>
      </c>
      <c r="AM13" s="104">
        <f t="shared" si="4"/>
        <v>9.9799331103678917</v>
      </c>
      <c r="AN13" s="83">
        <f t="shared" si="5"/>
        <v>28742.207357859526</v>
      </c>
      <c r="AO13" s="83">
        <f t="shared" si="6"/>
        <v>43113.311036789295</v>
      </c>
      <c r="AP13" s="182">
        <f t="shared" si="7"/>
        <v>98.072435414046794</v>
      </c>
      <c r="AQ13" s="182">
        <f t="shared" si="8"/>
        <v>147.1086531210702</v>
      </c>
      <c r="AR13" s="85"/>
      <c r="AS13" s="85"/>
      <c r="AT13" s="53"/>
      <c r="AU13" s="53"/>
      <c r="AV13" s="53"/>
      <c r="AW13" s="53"/>
      <c r="AX13" s="53"/>
      <c r="AY13" s="53"/>
      <c r="AZ13" s="53"/>
      <c r="BA13" s="53"/>
      <c r="BB13" s="53"/>
      <c r="BC13" s="111">
        <f t="shared" si="9"/>
        <v>28742.207357859526</v>
      </c>
      <c r="BD13" s="111">
        <f t="shared" si="10"/>
        <v>43113.311036789295</v>
      </c>
    </row>
    <row r="14" spans="1:64" ht="21" customHeight="1" x14ac:dyDescent="0.25">
      <c r="A14" s="53">
        <v>4</v>
      </c>
      <c r="B14" s="53"/>
      <c r="C14" s="53"/>
      <c r="D14" s="53" t="s">
        <v>135</v>
      </c>
      <c r="E14" s="53"/>
      <c r="F14" s="53"/>
      <c r="G14" s="53" t="s">
        <v>290</v>
      </c>
      <c r="H14" s="53" t="s">
        <v>291</v>
      </c>
      <c r="I14" s="85" t="s">
        <v>455</v>
      </c>
      <c r="J14" s="85" t="s">
        <v>456</v>
      </c>
      <c r="K14" s="85" t="s">
        <v>294</v>
      </c>
      <c r="L14" s="53" t="s">
        <v>216</v>
      </c>
      <c r="M14" s="53" t="s">
        <v>295</v>
      </c>
      <c r="N14" s="53"/>
      <c r="O14" s="97" t="s">
        <v>135</v>
      </c>
      <c r="P14" s="53">
        <v>1</v>
      </c>
      <c r="Q14" s="183">
        <v>40</v>
      </c>
      <c r="R14" s="99">
        <v>0.89250000000000007</v>
      </c>
      <c r="S14" s="53">
        <v>49</v>
      </c>
      <c r="T14" s="53"/>
      <c r="U14" s="53">
        <v>3</v>
      </c>
      <c r="V14" s="53">
        <v>480</v>
      </c>
      <c r="W14" s="53"/>
      <c r="X14" s="53"/>
      <c r="Y14" s="53"/>
      <c r="Z14" s="53"/>
      <c r="AA14" s="53"/>
      <c r="AB14" s="53"/>
      <c r="AC14" s="137" t="s">
        <v>124</v>
      </c>
      <c r="AD14" s="138" t="s">
        <v>118</v>
      </c>
      <c r="AE14" s="83">
        <v>8760</v>
      </c>
      <c r="AF14" s="139">
        <v>1</v>
      </c>
      <c r="AG14" s="139">
        <f t="shared" si="0"/>
        <v>0.82191780821917804</v>
      </c>
      <c r="AH14" s="139">
        <v>0.6</v>
      </c>
      <c r="AI14" s="139">
        <v>0.6</v>
      </c>
      <c r="AJ14" s="83">
        <f t="shared" si="1"/>
        <v>2880</v>
      </c>
      <c r="AK14" s="83">
        <f t="shared" si="2"/>
        <v>4320</v>
      </c>
      <c r="AL14" s="104">
        <f t="shared" si="3"/>
        <v>20.060504201680669</v>
      </c>
      <c r="AM14" s="104">
        <f t="shared" si="4"/>
        <v>20.060504201680669</v>
      </c>
      <c r="AN14" s="83">
        <f t="shared" si="5"/>
        <v>57774.252100840327</v>
      </c>
      <c r="AO14" s="83">
        <f t="shared" si="6"/>
        <v>86661.378151260491</v>
      </c>
      <c r="AP14" s="182">
        <f t="shared" si="7"/>
        <v>197.13383656336131</v>
      </c>
      <c r="AQ14" s="182">
        <f t="shared" si="8"/>
        <v>295.70075484504201</v>
      </c>
      <c r="AR14" s="85"/>
      <c r="AS14" s="85"/>
      <c r="AT14" s="53"/>
      <c r="AU14" s="53"/>
      <c r="AV14" s="53"/>
      <c r="AW14" s="53"/>
      <c r="AX14" s="53"/>
      <c r="AY14" s="53"/>
      <c r="AZ14" s="53"/>
      <c r="BA14" s="53"/>
      <c r="BB14" s="53"/>
      <c r="BC14" s="111">
        <f t="shared" si="9"/>
        <v>57774.252100840327</v>
      </c>
      <c r="BD14" s="111">
        <f t="shared" si="10"/>
        <v>86661.378151260491</v>
      </c>
    </row>
    <row r="15" spans="1:64" ht="21" customHeight="1" x14ac:dyDescent="0.25">
      <c r="A15" s="53">
        <v>5</v>
      </c>
      <c r="B15" s="53"/>
      <c r="C15" s="53"/>
      <c r="D15" s="53" t="s">
        <v>135</v>
      </c>
      <c r="E15" s="53"/>
      <c r="F15" s="53"/>
      <c r="G15" s="53" t="s">
        <v>290</v>
      </c>
      <c r="H15" s="53" t="s">
        <v>291</v>
      </c>
      <c r="I15" s="85" t="s">
        <v>455</v>
      </c>
      <c r="J15" s="85" t="s">
        <v>456</v>
      </c>
      <c r="K15" s="85" t="s">
        <v>360</v>
      </c>
      <c r="L15" s="53" t="s">
        <v>216</v>
      </c>
      <c r="M15" s="53" t="s">
        <v>361</v>
      </c>
      <c r="N15" s="53"/>
      <c r="O15" s="97" t="s">
        <v>135</v>
      </c>
      <c r="P15" s="53">
        <v>1</v>
      </c>
      <c r="Q15" s="183">
        <v>3</v>
      </c>
      <c r="R15" s="84">
        <v>0.87050000000000005</v>
      </c>
      <c r="S15" s="53">
        <v>4.8</v>
      </c>
      <c r="T15" s="53"/>
      <c r="U15" s="53">
        <v>3</v>
      </c>
      <c r="V15" s="53">
        <v>480</v>
      </c>
      <c r="W15" s="53"/>
      <c r="X15" s="53"/>
      <c r="Y15" s="53"/>
      <c r="Z15" s="53"/>
      <c r="AA15" s="53"/>
      <c r="AB15" s="53"/>
      <c r="AC15" s="137" t="s">
        <v>124</v>
      </c>
      <c r="AD15" s="138" t="s">
        <v>118</v>
      </c>
      <c r="AE15" s="83">
        <v>8760</v>
      </c>
      <c r="AF15" s="139">
        <v>1</v>
      </c>
      <c r="AG15" s="139">
        <f t="shared" si="0"/>
        <v>0.82191780821917804</v>
      </c>
      <c r="AH15" s="139">
        <v>0.75</v>
      </c>
      <c r="AI15" s="139">
        <v>0.75</v>
      </c>
      <c r="AJ15" s="83">
        <f t="shared" si="1"/>
        <v>2880</v>
      </c>
      <c r="AK15" s="83">
        <f t="shared" si="2"/>
        <v>4320</v>
      </c>
      <c r="AL15" s="104">
        <f t="shared" si="3"/>
        <v>1.9282021826536473</v>
      </c>
      <c r="AM15" s="104">
        <f t="shared" si="4"/>
        <v>1.9282021826536473</v>
      </c>
      <c r="AN15" s="83">
        <f t="shared" si="5"/>
        <v>5553.2222860425045</v>
      </c>
      <c r="AO15" s="83">
        <f t="shared" si="6"/>
        <v>8329.8334290637558</v>
      </c>
      <c r="AP15" s="182">
        <f t="shared" si="7"/>
        <v>18.948371891097068</v>
      </c>
      <c r="AQ15" s="182">
        <f t="shared" si="8"/>
        <v>28.422557836645602</v>
      </c>
      <c r="AR15" s="85"/>
      <c r="AS15" s="85"/>
      <c r="AT15" s="53"/>
      <c r="AU15" s="53"/>
      <c r="AV15" s="53"/>
      <c r="AW15" s="53"/>
      <c r="AX15" s="53"/>
      <c r="AY15" s="53"/>
      <c r="AZ15" s="53"/>
      <c r="BA15" s="53"/>
      <c r="BB15" s="53"/>
      <c r="BC15" s="111">
        <f t="shared" si="9"/>
        <v>5553.2222860425045</v>
      </c>
      <c r="BD15" s="111">
        <f t="shared" si="10"/>
        <v>8329.8334290637558</v>
      </c>
    </row>
    <row r="16" spans="1:64" ht="21" customHeight="1" x14ac:dyDescent="0.25">
      <c r="A16" s="53">
        <v>6</v>
      </c>
      <c r="B16" s="53"/>
      <c r="C16" s="53"/>
      <c r="D16" s="53" t="s">
        <v>135</v>
      </c>
      <c r="E16" s="53"/>
      <c r="F16" s="53"/>
      <c r="G16" s="53" t="s">
        <v>290</v>
      </c>
      <c r="H16" s="53" t="s">
        <v>291</v>
      </c>
      <c r="I16" s="85" t="s">
        <v>455</v>
      </c>
      <c r="J16" s="85" t="s">
        <v>456</v>
      </c>
      <c r="K16" s="85" t="s">
        <v>530</v>
      </c>
      <c r="L16" s="53" t="s">
        <v>216</v>
      </c>
      <c r="M16" s="53" t="s">
        <v>295</v>
      </c>
      <c r="N16" s="53"/>
      <c r="O16" s="97" t="s">
        <v>135</v>
      </c>
      <c r="P16" s="53">
        <v>1</v>
      </c>
      <c r="Q16" s="183">
        <v>20</v>
      </c>
      <c r="R16" s="84">
        <v>0.89700000000000002</v>
      </c>
      <c r="S16" s="53">
        <v>27</v>
      </c>
      <c r="T16" s="53"/>
      <c r="U16" s="53">
        <v>3</v>
      </c>
      <c r="V16" s="53">
        <v>480</v>
      </c>
      <c r="W16" s="53"/>
      <c r="X16" s="53"/>
      <c r="Y16" s="53"/>
      <c r="Z16" s="53"/>
      <c r="AA16" s="53"/>
      <c r="AB16" s="53"/>
      <c r="AC16" s="137" t="s">
        <v>124</v>
      </c>
      <c r="AD16" s="138" t="s">
        <v>118</v>
      </c>
      <c r="AE16" s="83">
        <v>8760</v>
      </c>
      <c r="AF16" s="139">
        <v>1</v>
      </c>
      <c r="AG16" s="139">
        <f t="shared" si="0"/>
        <v>0.82191780821917804</v>
      </c>
      <c r="AH16" s="139">
        <v>0.6</v>
      </c>
      <c r="AI16" s="139">
        <v>0.6</v>
      </c>
      <c r="AJ16" s="83">
        <f t="shared" si="1"/>
        <v>2880</v>
      </c>
      <c r="AK16" s="83">
        <f t="shared" si="2"/>
        <v>4320</v>
      </c>
      <c r="AL16" s="104">
        <f t="shared" si="3"/>
        <v>9.9799331103678917</v>
      </c>
      <c r="AM16" s="104">
        <f t="shared" si="4"/>
        <v>9.9799331103678917</v>
      </c>
      <c r="AN16" s="83">
        <f t="shared" si="5"/>
        <v>28742.207357859526</v>
      </c>
      <c r="AO16" s="83">
        <f t="shared" si="6"/>
        <v>43113.311036789295</v>
      </c>
      <c r="AP16" s="182">
        <f t="shared" si="7"/>
        <v>98.072435414046794</v>
      </c>
      <c r="AQ16" s="182">
        <f t="shared" si="8"/>
        <v>147.1086531210702</v>
      </c>
      <c r="AR16" s="85"/>
      <c r="AS16" s="85"/>
      <c r="AT16" s="53"/>
      <c r="AU16" s="53"/>
      <c r="AV16" s="53"/>
      <c r="AW16" s="53"/>
      <c r="AX16" s="53"/>
      <c r="AY16" s="53"/>
      <c r="AZ16" s="53"/>
      <c r="BA16" s="53"/>
      <c r="BB16" s="53"/>
      <c r="BC16" s="111">
        <f t="shared" si="9"/>
        <v>28742.207357859526</v>
      </c>
      <c r="BD16" s="111">
        <f t="shared" si="10"/>
        <v>43113.311036789295</v>
      </c>
    </row>
    <row r="17" spans="1:56" ht="21" customHeight="1" x14ac:dyDescent="0.25">
      <c r="A17" s="53">
        <v>7</v>
      </c>
      <c r="B17" s="53"/>
      <c r="C17" s="53"/>
      <c r="D17" s="53" t="s">
        <v>135</v>
      </c>
      <c r="E17" s="53"/>
      <c r="F17" s="53"/>
      <c r="G17" s="53" t="s">
        <v>290</v>
      </c>
      <c r="H17" s="53" t="s">
        <v>291</v>
      </c>
      <c r="I17" s="85" t="s">
        <v>455</v>
      </c>
      <c r="J17" s="85" t="s">
        <v>456</v>
      </c>
      <c r="K17" s="85" t="s">
        <v>507</v>
      </c>
      <c r="L17" s="53" t="s">
        <v>216</v>
      </c>
      <c r="M17" s="53" t="s">
        <v>295</v>
      </c>
      <c r="N17" s="53"/>
      <c r="O17" s="85" t="s">
        <v>135</v>
      </c>
      <c r="P17" s="53">
        <v>1</v>
      </c>
      <c r="Q17" s="183">
        <v>20</v>
      </c>
      <c r="R17" s="84">
        <v>0.89700000000000002</v>
      </c>
      <c r="S17" s="53">
        <v>27</v>
      </c>
      <c r="T17" s="53"/>
      <c r="U17" s="53">
        <v>3</v>
      </c>
      <c r="V17" s="53">
        <v>480</v>
      </c>
      <c r="W17" s="53"/>
      <c r="X17" s="53"/>
      <c r="Y17" s="53"/>
      <c r="Z17" s="53"/>
      <c r="AA17" s="53"/>
      <c r="AB17" s="53"/>
      <c r="AC17" s="137" t="s">
        <v>124</v>
      </c>
      <c r="AD17" s="138" t="s">
        <v>118</v>
      </c>
      <c r="AE17" s="83">
        <v>8760</v>
      </c>
      <c r="AF17" s="139">
        <v>1</v>
      </c>
      <c r="AG17" s="139">
        <f t="shared" si="0"/>
        <v>0.82191780821917804</v>
      </c>
      <c r="AH17" s="139">
        <v>0.6</v>
      </c>
      <c r="AI17" s="139">
        <v>0.6</v>
      </c>
      <c r="AJ17" s="83">
        <f t="shared" si="1"/>
        <v>2880</v>
      </c>
      <c r="AK17" s="83">
        <f t="shared" si="2"/>
        <v>4320</v>
      </c>
      <c r="AL17" s="104">
        <f t="shared" si="3"/>
        <v>9.9799331103678917</v>
      </c>
      <c r="AM17" s="104">
        <f t="shared" si="4"/>
        <v>9.9799331103678917</v>
      </c>
      <c r="AN17" s="83">
        <f t="shared" si="5"/>
        <v>28742.207357859526</v>
      </c>
      <c r="AO17" s="83">
        <f t="shared" si="6"/>
        <v>43113.311036789295</v>
      </c>
      <c r="AP17" s="182">
        <f t="shared" si="7"/>
        <v>98.072435414046794</v>
      </c>
      <c r="AQ17" s="182">
        <f t="shared" si="8"/>
        <v>147.1086531210702</v>
      </c>
      <c r="AR17" s="85"/>
      <c r="AS17" s="85"/>
      <c r="AT17" s="53"/>
      <c r="AU17" s="53"/>
      <c r="AV17" s="53"/>
      <c r="AW17" s="53"/>
      <c r="AX17" s="53"/>
      <c r="AY17" s="53"/>
      <c r="AZ17" s="53"/>
      <c r="BA17" s="53"/>
      <c r="BB17" s="53"/>
      <c r="BC17" s="111">
        <f t="shared" si="9"/>
        <v>28742.207357859526</v>
      </c>
      <c r="BD17" s="111">
        <f t="shared" si="10"/>
        <v>43113.311036789295</v>
      </c>
    </row>
    <row r="18" spans="1:56" ht="21" customHeight="1" x14ac:dyDescent="0.25">
      <c r="A18" s="53">
        <v>8</v>
      </c>
      <c r="B18" s="53"/>
      <c r="C18" s="53"/>
      <c r="D18" s="53" t="s">
        <v>135</v>
      </c>
      <c r="E18" s="53"/>
      <c r="F18" s="53"/>
      <c r="G18" s="53" t="s">
        <v>290</v>
      </c>
      <c r="H18" s="53" t="s">
        <v>291</v>
      </c>
      <c r="I18" s="85" t="s">
        <v>366</v>
      </c>
      <c r="J18" s="85" t="s">
        <v>318</v>
      </c>
      <c r="K18" s="85" t="s">
        <v>294</v>
      </c>
      <c r="L18" s="53" t="s">
        <v>216</v>
      </c>
      <c r="M18" s="53" t="s">
        <v>295</v>
      </c>
      <c r="N18" s="53"/>
      <c r="O18" s="85" t="s">
        <v>135</v>
      </c>
      <c r="P18" s="53">
        <v>1</v>
      </c>
      <c r="Q18" s="183">
        <v>40</v>
      </c>
      <c r="R18" s="84">
        <v>0.89250000000000007</v>
      </c>
      <c r="S18" s="53">
        <v>49</v>
      </c>
      <c r="T18" s="53"/>
      <c r="U18" s="53">
        <v>3</v>
      </c>
      <c r="V18" s="53">
        <v>480</v>
      </c>
      <c r="W18" s="53"/>
      <c r="X18" s="53"/>
      <c r="Y18" s="53"/>
      <c r="Z18" s="53"/>
      <c r="AA18" s="53"/>
      <c r="AB18" s="53"/>
      <c r="AC18" s="137" t="s">
        <v>124</v>
      </c>
      <c r="AD18" s="138" t="s">
        <v>118</v>
      </c>
      <c r="AE18" s="83">
        <v>8760</v>
      </c>
      <c r="AF18" s="139">
        <v>1</v>
      </c>
      <c r="AG18" s="139">
        <f t="shared" si="0"/>
        <v>0.82191780821917804</v>
      </c>
      <c r="AH18" s="139">
        <v>0.6</v>
      </c>
      <c r="AI18" s="139">
        <v>0.6</v>
      </c>
      <c r="AJ18" s="83">
        <f t="shared" si="1"/>
        <v>2880</v>
      </c>
      <c r="AK18" s="83">
        <f t="shared" si="2"/>
        <v>4320</v>
      </c>
      <c r="AL18" s="104">
        <f t="shared" si="3"/>
        <v>20.060504201680669</v>
      </c>
      <c r="AM18" s="104">
        <f t="shared" si="4"/>
        <v>20.060504201680669</v>
      </c>
      <c r="AN18" s="83">
        <f t="shared" si="5"/>
        <v>57774.252100840327</v>
      </c>
      <c r="AO18" s="83">
        <f t="shared" si="6"/>
        <v>86661.378151260491</v>
      </c>
      <c r="AP18" s="182">
        <f t="shared" si="7"/>
        <v>197.13383656336131</v>
      </c>
      <c r="AQ18" s="182">
        <f t="shared" si="8"/>
        <v>295.70075484504201</v>
      </c>
      <c r="AR18" s="85"/>
      <c r="AS18" s="85"/>
      <c r="AT18" s="53"/>
      <c r="AU18" s="53"/>
      <c r="AV18" s="53"/>
      <c r="AW18" s="53"/>
      <c r="AX18" s="53"/>
      <c r="AY18" s="53"/>
      <c r="AZ18" s="53"/>
      <c r="BA18" s="53"/>
      <c r="BB18" s="53"/>
      <c r="BC18" s="111">
        <f t="shared" si="9"/>
        <v>57774.252100840327</v>
      </c>
      <c r="BD18" s="111">
        <f t="shared" si="10"/>
        <v>86661.378151260491</v>
      </c>
    </row>
    <row r="19" spans="1:56" ht="21" customHeight="1" x14ac:dyDescent="0.25">
      <c r="A19" s="53">
        <v>9</v>
      </c>
      <c r="B19" s="53"/>
      <c r="C19" s="53"/>
      <c r="D19" s="53" t="s">
        <v>135</v>
      </c>
      <c r="E19" s="53"/>
      <c r="F19" s="53"/>
      <c r="G19" s="53" t="s">
        <v>290</v>
      </c>
      <c r="H19" s="53" t="s">
        <v>291</v>
      </c>
      <c r="I19" s="85" t="s">
        <v>366</v>
      </c>
      <c r="J19" s="85" t="s">
        <v>756</v>
      </c>
      <c r="K19" s="85" t="s">
        <v>762</v>
      </c>
      <c r="L19" s="53" t="s">
        <v>216</v>
      </c>
      <c r="M19" s="53" t="s">
        <v>361</v>
      </c>
      <c r="N19" s="53"/>
      <c r="O19" s="85" t="s">
        <v>135</v>
      </c>
      <c r="P19" s="53">
        <v>1</v>
      </c>
      <c r="Q19" s="183">
        <v>3</v>
      </c>
      <c r="R19" s="84">
        <v>0.87050000000000005</v>
      </c>
      <c r="S19" s="53">
        <v>4.8</v>
      </c>
      <c r="T19" s="53"/>
      <c r="U19" s="53">
        <v>3</v>
      </c>
      <c r="V19" s="53">
        <v>480</v>
      </c>
      <c r="W19" s="53"/>
      <c r="X19" s="53"/>
      <c r="Y19" s="53"/>
      <c r="Z19" s="53"/>
      <c r="AA19" s="53"/>
      <c r="AB19" s="53"/>
      <c r="AC19" s="137" t="s">
        <v>124</v>
      </c>
      <c r="AD19" s="138" t="s">
        <v>118</v>
      </c>
      <c r="AE19" s="83">
        <v>8760</v>
      </c>
      <c r="AF19" s="139">
        <v>1</v>
      </c>
      <c r="AG19" s="139">
        <f t="shared" si="0"/>
        <v>0.82191780821917804</v>
      </c>
      <c r="AH19" s="139">
        <v>0.75</v>
      </c>
      <c r="AI19" s="139">
        <v>0.75</v>
      </c>
      <c r="AJ19" s="83">
        <f t="shared" si="1"/>
        <v>2880</v>
      </c>
      <c r="AK19" s="83">
        <f t="shared" si="2"/>
        <v>4320</v>
      </c>
      <c r="AL19" s="104">
        <f t="shared" si="3"/>
        <v>1.9282021826536473</v>
      </c>
      <c r="AM19" s="104">
        <f t="shared" si="4"/>
        <v>1.9282021826536473</v>
      </c>
      <c r="AN19" s="83">
        <f t="shared" si="5"/>
        <v>5553.2222860425045</v>
      </c>
      <c r="AO19" s="83">
        <f t="shared" si="6"/>
        <v>8329.8334290637558</v>
      </c>
      <c r="AP19" s="182">
        <f t="shared" si="7"/>
        <v>18.948371891097068</v>
      </c>
      <c r="AQ19" s="182">
        <f t="shared" si="8"/>
        <v>28.422557836645602</v>
      </c>
      <c r="AR19" s="85"/>
      <c r="AS19" s="85"/>
      <c r="AT19" s="53"/>
      <c r="AU19" s="53"/>
      <c r="AV19" s="53"/>
      <c r="AW19" s="53"/>
      <c r="AX19" s="53"/>
      <c r="AY19" s="53"/>
      <c r="AZ19" s="53"/>
      <c r="BA19" s="53"/>
      <c r="BB19" s="53"/>
      <c r="BC19" s="111">
        <f t="shared" si="9"/>
        <v>5553.2222860425045</v>
      </c>
      <c r="BD19" s="111">
        <f t="shared" si="10"/>
        <v>8329.8334290637558</v>
      </c>
    </row>
    <row r="20" spans="1:56" ht="21" customHeight="1" x14ac:dyDescent="0.25">
      <c r="A20" s="53">
        <v>10</v>
      </c>
      <c r="B20" s="53"/>
      <c r="C20" s="53"/>
      <c r="D20" s="53" t="s">
        <v>135</v>
      </c>
      <c r="E20" s="53"/>
      <c r="F20" s="53"/>
      <c r="G20" s="53" t="s">
        <v>290</v>
      </c>
      <c r="H20" s="53" t="s">
        <v>291</v>
      </c>
      <c r="I20" s="85" t="s">
        <v>366</v>
      </c>
      <c r="J20" s="85" t="s">
        <v>318</v>
      </c>
      <c r="K20" s="85" t="s">
        <v>294</v>
      </c>
      <c r="L20" s="53" t="s">
        <v>216</v>
      </c>
      <c r="M20" s="53" t="s">
        <v>295</v>
      </c>
      <c r="N20" s="53"/>
      <c r="O20" s="85" t="s">
        <v>135</v>
      </c>
      <c r="P20" s="53">
        <v>1</v>
      </c>
      <c r="Q20" s="183">
        <v>40</v>
      </c>
      <c r="R20" s="84">
        <v>0.89250000000000007</v>
      </c>
      <c r="S20" s="53">
        <v>49</v>
      </c>
      <c r="T20" s="53"/>
      <c r="U20" s="53">
        <v>3</v>
      </c>
      <c r="V20" s="53">
        <v>480</v>
      </c>
      <c r="W20" s="53"/>
      <c r="X20" s="53"/>
      <c r="Y20" s="53"/>
      <c r="Z20" s="53"/>
      <c r="AA20" s="53"/>
      <c r="AB20" s="53"/>
      <c r="AC20" s="137" t="s">
        <v>124</v>
      </c>
      <c r="AD20" s="138" t="s">
        <v>118</v>
      </c>
      <c r="AE20" s="83">
        <v>8760</v>
      </c>
      <c r="AF20" s="139">
        <v>1</v>
      </c>
      <c r="AG20" s="139">
        <f t="shared" si="0"/>
        <v>0.82191780821917804</v>
      </c>
      <c r="AH20" s="139">
        <v>0.6</v>
      </c>
      <c r="AI20" s="139">
        <v>0.6</v>
      </c>
      <c r="AJ20" s="83">
        <f t="shared" si="1"/>
        <v>2880</v>
      </c>
      <c r="AK20" s="83">
        <f t="shared" si="2"/>
        <v>4320</v>
      </c>
      <c r="AL20" s="104">
        <f t="shared" si="3"/>
        <v>20.060504201680669</v>
      </c>
      <c r="AM20" s="104">
        <f t="shared" si="4"/>
        <v>20.060504201680669</v>
      </c>
      <c r="AN20" s="83">
        <f t="shared" si="5"/>
        <v>57774.252100840327</v>
      </c>
      <c r="AO20" s="83">
        <f t="shared" si="6"/>
        <v>86661.378151260491</v>
      </c>
      <c r="AP20" s="182">
        <f t="shared" si="7"/>
        <v>197.13383656336131</v>
      </c>
      <c r="AQ20" s="182">
        <f t="shared" si="8"/>
        <v>295.70075484504201</v>
      </c>
      <c r="AR20" s="85"/>
      <c r="AS20" s="85"/>
      <c r="AT20" s="53"/>
      <c r="AU20" s="53"/>
      <c r="AV20" s="53"/>
      <c r="AW20" s="53"/>
      <c r="AX20" s="53"/>
      <c r="AY20" s="53"/>
      <c r="AZ20" s="53"/>
      <c r="BA20" s="53"/>
      <c r="BB20" s="53"/>
      <c r="BC20" s="111">
        <f t="shared" si="9"/>
        <v>57774.252100840327</v>
      </c>
      <c r="BD20" s="111">
        <f t="shared" si="10"/>
        <v>86661.378151260491</v>
      </c>
    </row>
    <row r="21" spans="1:56" ht="21" customHeight="1" x14ac:dyDescent="0.25">
      <c r="A21" s="53">
        <v>11</v>
      </c>
      <c r="B21" s="53"/>
      <c r="C21" s="53"/>
      <c r="D21" s="53" t="s">
        <v>135</v>
      </c>
      <c r="E21" s="53"/>
      <c r="F21" s="53"/>
      <c r="G21" s="53" t="s">
        <v>290</v>
      </c>
      <c r="H21" s="53" t="s">
        <v>291</v>
      </c>
      <c r="I21" s="85" t="s">
        <v>366</v>
      </c>
      <c r="J21" s="85" t="s">
        <v>756</v>
      </c>
      <c r="K21" s="85" t="s">
        <v>757</v>
      </c>
      <c r="L21" s="53" t="s">
        <v>216</v>
      </c>
      <c r="M21" s="53" t="s">
        <v>361</v>
      </c>
      <c r="N21" s="53"/>
      <c r="O21" s="85" t="s">
        <v>135</v>
      </c>
      <c r="P21" s="53">
        <v>1</v>
      </c>
      <c r="Q21" s="183">
        <v>3</v>
      </c>
      <c r="R21" s="84">
        <v>0.87050000000000005</v>
      </c>
      <c r="S21" s="53">
        <v>4.8</v>
      </c>
      <c r="T21" s="53"/>
      <c r="U21" s="53">
        <v>3</v>
      </c>
      <c r="V21" s="53">
        <v>480</v>
      </c>
      <c r="W21" s="53"/>
      <c r="X21" s="53"/>
      <c r="Y21" s="53"/>
      <c r="Z21" s="53"/>
      <c r="AA21" s="53"/>
      <c r="AB21" s="53"/>
      <c r="AC21" s="137" t="s">
        <v>124</v>
      </c>
      <c r="AD21" s="138" t="s">
        <v>118</v>
      </c>
      <c r="AE21" s="83">
        <v>8760</v>
      </c>
      <c r="AF21" s="139">
        <v>1</v>
      </c>
      <c r="AG21" s="139">
        <f t="shared" si="0"/>
        <v>0.82191780821917804</v>
      </c>
      <c r="AH21" s="139">
        <v>0.75</v>
      </c>
      <c r="AI21" s="139">
        <v>0.75</v>
      </c>
      <c r="AJ21" s="83">
        <f t="shared" si="1"/>
        <v>2880</v>
      </c>
      <c r="AK21" s="83">
        <f t="shared" si="2"/>
        <v>4320</v>
      </c>
      <c r="AL21" s="104">
        <f t="shared" si="3"/>
        <v>1.9282021826536473</v>
      </c>
      <c r="AM21" s="104">
        <f t="shared" si="4"/>
        <v>1.9282021826536473</v>
      </c>
      <c r="AN21" s="83">
        <f t="shared" si="5"/>
        <v>5553.2222860425045</v>
      </c>
      <c r="AO21" s="83">
        <f t="shared" si="6"/>
        <v>8329.8334290637558</v>
      </c>
      <c r="AP21" s="182">
        <f t="shared" si="7"/>
        <v>18.948371891097068</v>
      </c>
      <c r="AQ21" s="182">
        <f t="shared" si="8"/>
        <v>28.422557836645602</v>
      </c>
      <c r="AR21" s="85"/>
      <c r="AS21" s="85"/>
      <c r="AT21" s="53"/>
      <c r="AU21" s="53"/>
      <c r="AV21" s="53"/>
      <c r="AW21" s="53"/>
      <c r="AX21" s="53"/>
      <c r="AY21" s="53"/>
      <c r="AZ21" s="53"/>
      <c r="BA21" s="53"/>
      <c r="BB21" s="53"/>
      <c r="BC21" s="111">
        <f t="shared" si="9"/>
        <v>5553.2222860425045</v>
      </c>
      <c r="BD21" s="111">
        <f t="shared" si="10"/>
        <v>8329.8334290637558</v>
      </c>
    </row>
    <row r="22" spans="1:56" ht="21" customHeight="1" x14ac:dyDescent="0.25">
      <c r="A22" s="53">
        <v>12</v>
      </c>
      <c r="B22" s="53"/>
      <c r="C22" s="53"/>
      <c r="D22" s="53" t="s">
        <v>135</v>
      </c>
      <c r="E22" s="53"/>
      <c r="F22" s="53"/>
      <c r="G22" s="53" t="s">
        <v>290</v>
      </c>
      <c r="H22" s="53" t="s">
        <v>291</v>
      </c>
      <c r="I22" s="85" t="s">
        <v>366</v>
      </c>
      <c r="J22" s="85" t="s">
        <v>318</v>
      </c>
      <c r="K22" s="85" t="s">
        <v>294</v>
      </c>
      <c r="L22" s="53" t="s">
        <v>216</v>
      </c>
      <c r="M22" s="53" t="s">
        <v>295</v>
      </c>
      <c r="N22" s="53"/>
      <c r="O22" s="85" t="s">
        <v>135</v>
      </c>
      <c r="P22" s="53">
        <v>1</v>
      </c>
      <c r="Q22" s="183">
        <v>40</v>
      </c>
      <c r="R22" s="84">
        <v>0.89250000000000007</v>
      </c>
      <c r="S22" s="53">
        <v>49</v>
      </c>
      <c r="T22" s="53"/>
      <c r="U22" s="53">
        <v>3</v>
      </c>
      <c r="V22" s="53">
        <v>480</v>
      </c>
      <c r="W22" s="53"/>
      <c r="X22" s="53"/>
      <c r="Y22" s="53"/>
      <c r="Z22" s="53"/>
      <c r="AA22" s="53"/>
      <c r="AB22" s="53"/>
      <c r="AC22" s="137" t="s">
        <v>124</v>
      </c>
      <c r="AD22" s="138" t="s">
        <v>118</v>
      </c>
      <c r="AE22" s="83">
        <v>8760</v>
      </c>
      <c r="AF22" s="139">
        <v>1</v>
      </c>
      <c r="AG22" s="139">
        <f t="shared" si="0"/>
        <v>0.82191780821917804</v>
      </c>
      <c r="AH22" s="139">
        <v>0.6</v>
      </c>
      <c r="AI22" s="139">
        <v>0.6</v>
      </c>
      <c r="AJ22" s="83">
        <f t="shared" si="1"/>
        <v>2880</v>
      </c>
      <c r="AK22" s="83">
        <f t="shared" si="2"/>
        <v>4320</v>
      </c>
      <c r="AL22" s="104">
        <f t="shared" si="3"/>
        <v>20.060504201680669</v>
      </c>
      <c r="AM22" s="104">
        <f t="shared" si="4"/>
        <v>20.060504201680669</v>
      </c>
      <c r="AN22" s="83">
        <f t="shared" si="5"/>
        <v>57774.252100840327</v>
      </c>
      <c r="AO22" s="83">
        <f t="shared" si="6"/>
        <v>86661.378151260491</v>
      </c>
      <c r="AP22" s="182">
        <f t="shared" si="7"/>
        <v>197.13383656336131</v>
      </c>
      <c r="AQ22" s="182">
        <f t="shared" si="8"/>
        <v>295.70075484504201</v>
      </c>
      <c r="AR22" s="85"/>
      <c r="AS22" s="85"/>
      <c r="AT22" s="53"/>
      <c r="AU22" s="53"/>
      <c r="AV22" s="53"/>
      <c r="AW22" s="53"/>
      <c r="AX22" s="53"/>
      <c r="AY22" s="53"/>
      <c r="AZ22" s="53"/>
      <c r="BA22" s="53"/>
      <c r="BB22" s="53"/>
      <c r="BC22" s="111">
        <f t="shared" si="9"/>
        <v>57774.252100840327</v>
      </c>
      <c r="BD22" s="111">
        <f t="shared" si="10"/>
        <v>86661.378151260491</v>
      </c>
    </row>
    <row r="23" spans="1:56" ht="21" customHeight="1" x14ac:dyDescent="0.25">
      <c r="A23" s="53">
        <v>13</v>
      </c>
      <c r="B23" s="53"/>
      <c r="C23" s="53"/>
      <c r="D23" s="53" t="s">
        <v>135</v>
      </c>
      <c r="E23" s="53"/>
      <c r="F23" s="53"/>
      <c r="G23" s="53" t="s">
        <v>290</v>
      </c>
      <c r="H23" s="53" t="s">
        <v>291</v>
      </c>
      <c r="I23" s="85" t="s">
        <v>366</v>
      </c>
      <c r="J23" s="85" t="s">
        <v>756</v>
      </c>
      <c r="K23" s="85" t="s">
        <v>760</v>
      </c>
      <c r="L23" s="53" t="s">
        <v>216</v>
      </c>
      <c r="M23" s="53" t="s">
        <v>361</v>
      </c>
      <c r="N23" s="53"/>
      <c r="O23" s="85" t="s">
        <v>135</v>
      </c>
      <c r="P23" s="53">
        <v>1</v>
      </c>
      <c r="Q23" s="183">
        <v>3</v>
      </c>
      <c r="R23" s="84">
        <v>0.87050000000000005</v>
      </c>
      <c r="S23" s="53">
        <v>4.8</v>
      </c>
      <c r="T23" s="53"/>
      <c r="U23" s="53">
        <v>3</v>
      </c>
      <c r="V23" s="53">
        <v>480</v>
      </c>
      <c r="W23" s="53"/>
      <c r="X23" s="53"/>
      <c r="Y23" s="53"/>
      <c r="Z23" s="53"/>
      <c r="AA23" s="53"/>
      <c r="AB23" s="53"/>
      <c r="AC23" s="137" t="s">
        <v>124</v>
      </c>
      <c r="AD23" s="138" t="s">
        <v>118</v>
      </c>
      <c r="AE23" s="83">
        <v>8760</v>
      </c>
      <c r="AF23" s="139">
        <v>1</v>
      </c>
      <c r="AG23" s="139">
        <f t="shared" si="0"/>
        <v>0.82191780821917804</v>
      </c>
      <c r="AH23" s="139">
        <v>0.75</v>
      </c>
      <c r="AI23" s="139">
        <v>0.75</v>
      </c>
      <c r="AJ23" s="83">
        <f t="shared" si="1"/>
        <v>2880</v>
      </c>
      <c r="AK23" s="83">
        <f t="shared" si="2"/>
        <v>4320</v>
      </c>
      <c r="AL23" s="104">
        <f t="shared" si="3"/>
        <v>1.9282021826536473</v>
      </c>
      <c r="AM23" s="104">
        <f t="shared" si="4"/>
        <v>1.9282021826536473</v>
      </c>
      <c r="AN23" s="83">
        <f t="shared" si="5"/>
        <v>5553.2222860425045</v>
      </c>
      <c r="AO23" s="83">
        <f t="shared" si="6"/>
        <v>8329.8334290637558</v>
      </c>
      <c r="AP23" s="182">
        <f t="shared" si="7"/>
        <v>18.948371891097068</v>
      </c>
      <c r="AQ23" s="182">
        <f t="shared" si="8"/>
        <v>28.422557836645602</v>
      </c>
      <c r="AR23" s="85"/>
      <c r="AS23" s="85"/>
      <c r="AT23" s="53"/>
      <c r="AU23" s="53"/>
      <c r="AV23" s="53"/>
      <c r="AW23" s="53"/>
      <c r="AX23" s="53"/>
      <c r="AY23" s="53"/>
      <c r="AZ23" s="53"/>
      <c r="BA23" s="53"/>
      <c r="BB23" s="53"/>
      <c r="BC23" s="111">
        <f t="shared" si="9"/>
        <v>5553.2222860425045</v>
      </c>
      <c r="BD23" s="111">
        <f t="shared" si="10"/>
        <v>8329.8334290637558</v>
      </c>
    </row>
    <row r="24" spans="1:56" ht="21" customHeight="1" x14ac:dyDescent="0.25">
      <c r="A24" s="53">
        <v>14</v>
      </c>
      <c r="B24" s="53"/>
      <c r="C24" s="53"/>
      <c r="D24" s="53" t="s">
        <v>135</v>
      </c>
      <c r="E24" s="53"/>
      <c r="F24" s="53"/>
      <c r="G24" s="53" t="s">
        <v>290</v>
      </c>
      <c r="H24" s="53" t="s">
        <v>291</v>
      </c>
      <c r="I24" s="85" t="s">
        <v>366</v>
      </c>
      <c r="J24" s="85" t="s">
        <v>318</v>
      </c>
      <c r="K24" s="85" t="s">
        <v>294</v>
      </c>
      <c r="L24" s="53" t="s">
        <v>216</v>
      </c>
      <c r="M24" s="53" t="s">
        <v>295</v>
      </c>
      <c r="N24" s="53"/>
      <c r="O24" s="85" t="s">
        <v>135</v>
      </c>
      <c r="P24" s="53">
        <v>1</v>
      </c>
      <c r="Q24" s="183">
        <v>40</v>
      </c>
      <c r="R24" s="84">
        <v>0.89250000000000007</v>
      </c>
      <c r="S24" s="53">
        <v>49</v>
      </c>
      <c r="T24" s="53"/>
      <c r="U24" s="53">
        <v>3</v>
      </c>
      <c r="V24" s="53">
        <v>480</v>
      </c>
      <c r="W24" s="53"/>
      <c r="X24" s="53"/>
      <c r="Y24" s="53"/>
      <c r="Z24" s="53"/>
      <c r="AA24" s="53"/>
      <c r="AB24" s="53"/>
      <c r="AC24" s="137" t="s">
        <v>124</v>
      </c>
      <c r="AD24" s="138" t="s">
        <v>118</v>
      </c>
      <c r="AE24" s="83">
        <v>8760</v>
      </c>
      <c r="AF24" s="139">
        <v>1</v>
      </c>
      <c r="AG24" s="139">
        <f t="shared" si="0"/>
        <v>0.82191780821917804</v>
      </c>
      <c r="AH24" s="139">
        <v>0.6</v>
      </c>
      <c r="AI24" s="139">
        <v>0.6</v>
      </c>
      <c r="AJ24" s="83">
        <f t="shared" si="1"/>
        <v>2880</v>
      </c>
      <c r="AK24" s="83">
        <f t="shared" si="2"/>
        <v>4320</v>
      </c>
      <c r="AL24" s="104">
        <f t="shared" si="3"/>
        <v>20.060504201680669</v>
      </c>
      <c r="AM24" s="104">
        <f t="shared" si="4"/>
        <v>20.060504201680669</v>
      </c>
      <c r="AN24" s="83">
        <f t="shared" si="5"/>
        <v>57774.252100840327</v>
      </c>
      <c r="AO24" s="83">
        <f t="shared" si="6"/>
        <v>86661.378151260491</v>
      </c>
      <c r="AP24" s="182">
        <f t="shared" si="7"/>
        <v>197.13383656336131</v>
      </c>
      <c r="AQ24" s="182">
        <f t="shared" si="8"/>
        <v>295.70075484504201</v>
      </c>
      <c r="AR24" s="85"/>
      <c r="AS24" s="85"/>
      <c r="AT24" s="53"/>
      <c r="AU24" s="53"/>
      <c r="AV24" s="53"/>
      <c r="AW24" s="53"/>
      <c r="AX24" s="53"/>
      <c r="AY24" s="53"/>
      <c r="AZ24" s="53"/>
      <c r="BA24" s="53"/>
      <c r="BB24" s="53"/>
      <c r="BC24" s="111">
        <f t="shared" si="9"/>
        <v>57774.252100840327</v>
      </c>
      <c r="BD24" s="111">
        <f t="shared" si="10"/>
        <v>86661.378151260491</v>
      </c>
    </row>
    <row r="25" spans="1:56" ht="21" customHeight="1" x14ac:dyDescent="0.25">
      <c r="A25" s="53">
        <v>15</v>
      </c>
      <c r="B25" s="53"/>
      <c r="C25" s="53"/>
      <c r="D25" s="53" t="s">
        <v>135</v>
      </c>
      <c r="E25" s="53"/>
      <c r="F25" s="53"/>
      <c r="G25" s="53" t="s">
        <v>290</v>
      </c>
      <c r="H25" s="53" t="s">
        <v>291</v>
      </c>
      <c r="I25" s="85" t="s">
        <v>366</v>
      </c>
      <c r="J25" s="85" t="s">
        <v>756</v>
      </c>
      <c r="K25" s="85" t="s">
        <v>761</v>
      </c>
      <c r="L25" s="53" t="s">
        <v>216</v>
      </c>
      <c r="M25" s="53" t="s">
        <v>361</v>
      </c>
      <c r="N25" s="53"/>
      <c r="O25" s="85" t="s">
        <v>135</v>
      </c>
      <c r="P25" s="53">
        <v>1</v>
      </c>
      <c r="Q25" s="183">
        <v>3</v>
      </c>
      <c r="R25" s="84">
        <v>0.87050000000000005</v>
      </c>
      <c r="S25" s="53">
        <v>4.8</v>
      </c>
      <c r="T25" s="53"/>
      <c r="U25" s="53">
        <v>3</v>
      </c>
      <c r="V25" s="53">
        <v>480</v>
      </c>
      <c r="W25" s="53"/>
      <c r="X25" s="53"/>
      <c r="Y25" s="53"/>
      <c r="Z25" s="53"/>
      <c r="AA25" s="53"/>
      <c r="AB25" s="53"/>
      <c r="AC25" s="137" t="s">
        <v>124</v>
      </c>
      <c r="AD25" s="138" t="s">
        <v>118</v>
      </c>
      <c r="AE25" s="83">
        <v>8760</v>
      </c>
      <c r="AF25" s="139">
        <v>1</v>
      </c>
      <c r="AG25" s="139">
        <f t="shared" si="0"/>
        <v>0.82191780821917804</v>
      </c>
      <c r="AH25" s="139">
        <v>0.75</v>
      </c>
      <c r="AI25" s="139">
        <v>0.75</v>
      </c>
      <c r="AJ25" s="83">
        <f t="shared" si="1"/>
        <v>2880</v>
      </c>
      <c r="AK25" s="83">
        <f t="shared" si="2"/>
        <v>4320</v>
      </c>
      <c r="AL25" s="104">
        <f t="shared" si="3"/>
        <v>1.9282021826536473</v>
      </c>
      <c r="AM25" s="104">
        <f t="shared" si="4"/>
        <v>1.9282021826536473</v>
      </c>
      <c r="AN25" s="83">
        <f t="shared" si="5"/>
        <v>5553.2222860425045</v>
      </c>
      <c r="AO25" s="83">
        <f t="shared" si="6"/>
        <v>8329.8334290637558</v>
      </c>
      <c r="AP25" s="182">
        <f t="shared" si="7"/>
        <v>18.948371891097068</v>
      </c>
      <c r="AQ25" s="182">
        <f t="shared" si="8"/>
        <v>28.422557836645602</v>
      </c>
      <c r="AR25" s="85"/>
      <c r="AS25" s="85"/>
      <c r="AT25" s="53"/>
      <c r="AU25" s="53"/>
      <c r="AV25" s="53"/>
      <c r="AW25" s="53"/>
      <c r="AX25" s="53"/>
      <c r="AY25" s="53"/>
      <c r="AZ25" s="53"/>
      <c r="BA25" s="53"/>
      <c r="BB25" s="53"/>
      <c r="BC25" s="111">
        <f t="shared" si="9"/>
        <v>5553.2222860425045</v>
      </c>
      <c r="BD25" s="111">
        <f t="shared" si="10"/>
        <v>8329.8334290637558</v>
      </c>
    </row>
    <row r="26" spans="1:56" ht="21" customHeight="1" x14ac:dyDescent="0.25">
      <c r="A26" s="53">
        <v>16</v>
      </c>
      <c r="B26" s="53"/>
      <c r="C26" s="53"/>
      <c r="D26" s="53" t="s">
        <v>135</v>
      </c>
      <c r="E26" s="53"/>
      <c r="F26" s="53"/>
      <c r="G26" s="53" t="s">
        <v>290</v>
      </c>
      <c r="H26" s="53" t="s">
        <v>291</v>
      </c>
      <c r="I26" s="85" t="s">
        <v>366</v>
      </c>
      <c r="J26" s="85" t="s">
        <v>508</v>
      </c>
      <c r="K26" s="85" t="s">
        <v>530</v>
      </c>
      <c r="L26" s="53" t="s">
        <v>216</v>
      </c>
      <c r="M26" s="53" t="s">
        <v>295</v>
      </c>
      <c r="N26" s="53"/>
      <c r="O26" s="85" t="s">
        <v>648</v>
      </c>
      <c r="P26" s="53">
        <v>1</v>
      </c>
      <c r="Q26" s="183">
        <v>10</v>
      </c>
      <c r="R26" s="84">
        <v>0.87050000000000005</v>
      </c>
      <c r="S26" s="53">
        <v>14</v>
      </c>
      <c r="T26" s="53"/>
      <c r="U26" s="53">
        <v>3</v>
      </c>
      <c r="V26" s="53">
        <v>480</v>
      </c>
      <c r="W26" s="53"/>
      <c r="X26" s="53"/>
      <c r="Y26" s="53"/>
      <c r="Z26" s="53"/>
      <c r="AA26" s="53"/>
      <c r="AB26" s="53"/>
      <c r="AC26" s="137" t="s">
        <v>124</v>
      </c>
      <c r="AD26" s="138" t="s">
        <v>118</v>
      </c>
      <c r="AE26" s="83">
        <v>8760</v>
      </c>
      <c r="AF26" s="139">
        <v>1</v>
      </c>
      <c r="AG26" s="139">
        <f t="shared" si="0"/>
        <v>0.82191780821917804</v>
      </c>
      <c r="AH26" s="139">
        <v>0.6</v>
      </c>
      <c r="AI26" s="139">
        <v>0.6</v>
      </c>
      <c r="AJ26" s="83">
        <f t="shared" si="1"/>
        <v>2880</v>
      </c>
      <c r="AK26" s="83">
        <f t="shared" si="2"/>
        <v>4320</v>
      </c>
      <c r="AL26" s="104">
        <f t="shared" si="3"/>
        <v>5.1418724870763919</v>
      </c>
      <c r="AM26" s="104">
        <f t="shared" si="4"/>
        <v>5.1418724870763919</v>
      </c>
      <c r="AN26" s="83">
        <f t="shared" si="5"/>
        <v>14808.592762780008</v>
      </c>
      <c r="AO26" s="83">
        <f t="shared" si="6"/>
        <v>22212.889144170014</v>
      </c>
      <c r="AP26" s="182">
        <f t="shared" si="7"/>
        <v>50.528991709592177</v>
      </c>
      <c r="AQ26" s="182">
        <f t="shared" si="8"/>
        <v>75.793487564388272</v>
      </c>
      <c r="AR26" s="85"/>
      <c r="AS26" s="85"/>
      <c r="AT26" s="53"/>
      <c r="AU26" s="53"/>
      <c r="AV26" s="53"/>
      <c r="AW26" s="53"/>
      <c r="AX26" s="53"/>
      <c r="AY26" s="53"/>
      <c r="AZ26" s="53"/>
      <c r="BA26" s="53"/>
      <c r="BB26" s="53"/>
      <c r="BC26" s="111">
        <f t="shared" si="9"/>
        <v>14808.592762780008</v>
      </c>
      <c r="BD26" s="111">
        <f t="shared" si="10"/>
        <v>22212.889144170014</v>
      </c>
    </row>
    <row r="27" spans="1:56" ht="21" customHeight="1" x14ac:dyDescent="0.25">
      <c r="A27" s="53">
        <v>17</v>
      </c>
      <c r="B27" s="53"/>
      <c r="C27" s="53"/>
      <c r="D27" s="53" t="s">
        <v>135</v>
      </c>
      <c r="E27" s="53"/>
      <c r="F27" s="53"/>
      <c r="G27" s="53" t="s">
        <v>290</v>
      </c>
      <c r="H27" s="53" t="s">
        <v>291</v>
      </c>
      <c r="I27" s="85" t="s">
        <v>366</v>
      </c>
      <c r="J27" s="85" t="s">
        <v>508</v>
      </c>
      <c r="K27" s="85" t="s">
        <v>507</v>
      </c>
      <c r="L27" s="53" t="s">
        <v>216</v>
      </c>
      <c r="M27" s="53" t="s">
        <v>295</v>
      </c>
      <c r="N27" s="53"/>
      <c r="O27" s="85" t="s">
        <v>509</v>
      </c>
      <c r="P27" s="53">
        <v>1</v>
      </c>
      <c r="Q27" s="183">
        <v>20</v>
      </c>
      <c r="R27" s="84">
        <v>0.89700000000000002</v>
      </c>
      <c r="S27" s="53">
        <v>27</v>
      </c>
      <c r="T27" s="53"/>
      <c r="U27" s="53">
        <v>3</v>
      </c>
      <c r="V27" s="53">
        <v>480</v>
      </c>
      <c r="W27" s="53"/>
      <c r="X27" s="53"/>
      <c r="Y27" s="53"/>
      <c r="Z27" s="53"/>
      <c r="AA27" s="53"/>
      <c r="AB27" s="53"/>
      <c r="AC27" s="137" t="s">
        <v>124</v>
      </c>
      <c r="AD27" s="138" t="s">
        <v>118</v>
      </c>
      <c r="AE27" s="83">
        <v>8760</v>
      </c>
      <c r="AF27" s="139">
        <v>1</v>
      </c>
      <c r="AG27" s="139">
        <f t="shared" si="0"/>
        <v>0.82191780821917804</v>
      </c>
      <c r="AH27" s="139">
        <v>0.6</v>
      </c>
      <c r="AI27" s="139">
        <v>0.6</v>
      </c>
      <c r="AJ27" s="83">
        <f t="shared" si="1"/>
        <v>2880</v>
      </c>
      <c r="AK27" s="83">
        <f t="shared" si="2"/>
        <v>4320</v>
      </c>
      <c r="AL27" s="104">
        <f t="shared" si="3"/>
        <v>9.9799331103678917</v>
      </c>
      <c r="AM27" s="104">
        <f t="shared" si="4"/>
        <v>9.9799331103678917</v>
      </c>
      <c r="AN27" s="83">
        <f t="shared" si="5"/>
        <v>28742.207357859526</v>
      </c>
      <c r="AO27" s="83">
        <f t="shared" si="6"/>
        <v>43113.311036789295</v>
      </c>
      <c r="AP27" s="182">
        <f t="shared" si="7"/>
        <v>98.072435414046794</v>
      </c>
      <c r="AQ27" s="182">
        <f t="shared" si="8"/>
        <v>147.1086531210702</v>
      </c>
      <c r="AR27" s="85"/>
      <c r="AS27" s="85"/>
      <c r="AT27" s="53"/>
      <c r="AU27" s="53"/>
      <c r="AV27" s="53"/>
      <c r="AW27" s="53"/>
      <c r="AX27" s="53"/>
      <c r="AY27" s="53"/>
      <c r="AZ27" s="53"/>
      <c r="BA27" s="53"/>
      <c r="BB27" s="53"/>
      <c r="BC27" s="111">
        <f t="shared" si="9"/>
        <v>28742.207357859526</v>
      </c>
      <c r="BD27" s="111">
        <f t="shared" si="10"/>
        <v>43113.311036789295</v>
      </c>
    </row>
    <row r="28" spans="1:56" ht="21" customHeight="1" x14ac:dyDescent="0.25">
      <c r="A28" s="53">
        <v>18</v>
      </c>
      <c r="B28" s="53"/>
      <c r="C28" s="53"/>
      <c r="D28" s="53" t="s">
        <v>135</v>
      </c>
      <c r="E28" s="53"/>
      <c r="F28" s="53"/>
      <c r="G28" s="53" t="s">
        <v>290</v>
      </c>
      <c r="H28" s="53" t="s">
        <v>291</v>
      </c>
      <c r="I28" s="85" t="s">
        <v>366</v>
      </c>
      <c r="J28" s="85" t="s">
        <v>508</v>
      </c>
      <c r="K28" s="85" t="s">
        <v>512</v>
      </c>
      <c r="L28" s="53" t="s">
        <v>216</v>
      </c>
      <c r="M28" s="53" t="s">
        <v>295</v>
      </c>
      <c r="N28" s="53"/>
      <c r="O28" s="85" t="s">
        <v>513</v>
      </c>
      <c r="P28" s="53">
        <v>1</v>
      </c>
      <c r="Q28" s="183">
        <v>20</v>
      </c>
      <c r="R28" s="84">
        <v>0.89700000000000002</v>
      </c>
      <c r="S28" s="53">
        <v>27</v>
      </c>
      <c r="T28" s="53"/>
      <c r="U28" s="53">
        <v>3</v>
      </c>
      <c r="V28" s="53">
        <v>480</v>
      </c>
      <c r="W28" s="53"/>
      <c r="X28" s="53"/>
      <c r="Y28" s="53"/>
      <c r="Z28" s="53"/>
      <c r="AA28" s="53"/>
      <c r="AB28" s="53"/>
      <c r="AC28" s="137" t="s">
        <v>124</v>
      </c>
      <c r="AD28" s="138" t="s">
        <v>118</v>
      </c>
      <c r="AE28" s="83">
        <v>8760</v>
      </c>
      <c r="AF28" s="139">
        <v>1</v>
      </c>
      <c r="AG28" s="139">
        <f t="shared" si="0"/>
        <v>0.82191780821917804</v>
      </c>
      <c r="AH28" s="139">
        <v>0.6</v>
      </c>
      <c r="AI28" s="139">
        <v>0.6</v>
      </c>
      <c r="AJ28" s="83">
        <f t="shared" si="1"/>
        <v>2880</v>
      </c>
      <c r="AK28" s="83">
        <f t="shared" si="2"/>
        <v>4320</v>
      </c>
      <c r="AL28" s="104">
        <f t="shared" si="3"/>
        <v>9.9799331103678917</v>
      </c>
      <c r="AM28" s="104">
        <f t="shared" si="4"/>
        <v>9.9799331103678917</v>
      </c>
      <c r="AN28" s="83">
        <f t="shared" si="5"/>
        <v>28742.207357859526</v>
      </c>
      <c r="AO28" s="83">
        <f t="shared" si="6"/>
        <v>43113.311036789295</v>
      </c>
      <c r="AP28" s="182">
        <f t="shared" si="7"/>
        <v>98.072435414046794</v>
      </c>
      <c r="AQ28" s="182">
        <f t="shared" si="8"/>
        <v>147.1086531210702</v>
      </c>
      <c r="AR28" s="85"/>
      <c r="AS28" s="85"/>
      <c r="AT28" s="53"/>
      <c r="AU28" s="53"/>
      <c r="AV28" s="53"/>
      <c r="AW28" s="53"/>
      <c r="AX28" s="53"/>
      <c r="AY28" s="53"/>
      <c r="AZ28" s="53"/>
      <c r="BA28" s="53"/>
      <c r="BB28" s="53"/>
      <c r="BC28" s="111">
        <f t="shared" si="9"/>
        <v>28742.207357859526</v>
      </c>
      <c r="BD28" s="111">
        <f t="shared" si="10"/>
        <v>43113.311036789295</v>
      </c>
    </row>
    <row r="29" spans="1:56" ht="21" customHeight="1" x14ac:dyDescent="0.25">
      <c r="A29" s="53">
        <v>19</v>
      </c>
      <c r="B29" s="53"/>
      <c r="C29" s="53"/>
      <c r="D29" s="53" t="s">
        <v>135</v>
      </c>
      <c r="E29" s="53"/>
      <c r="F29" s="53"/>
      <c r="G29" s="53" t="s">
        <v>290</v>
      </c>
      <c r="H29" s="53" t="s">
        <v>291</v>
      </c>
      <c r="I29" s="85" t="s">
        <v>366</v>
      </c>
      <c r="J29" s="85" t="s">
        <v>508</v>
      </c>
      <c r="K29" s="85" t="s">
        <v>515</v>
      </c>
      <c r="L29" s="53" t="s">
        <v>216</v>
      </c>
      <c r="M29" s="53" t="s">
        <v>295</v>
      </c>
      <c r="N29" s="53"/>
      <c r="O29" s="85" t="s">
        <v>516</v>
      </c>
      <c r="P29" s="53">
        <v>1</v>
      </c>
      <c r="Q29" s="183">
        <v>20</v>
      </c>
      <c r="R29" s="84">
        <v>0.89700000000000002</v>
      </c>
      <c r="S29" s="53">
        <v>27</v>
      </c>
      <c r="T29" s="53"/>
      <c r="U29" s="53">
        <v>3</v>
      </c>
      <c r="V29" s="53">
        <v>480</v>
      </c>
      <c r="W29" s="53"/>
      <c r="X29" s="53"/>
      <c r="Y29" s="53"/>
      <c r="Z29" s="53"/>
      <c r="AA29" s="53"/>
      <c r="AB29" s="53"/>
      <c r="AC29" s="137" t="s">
        <v>124</v>
      </c>
      <c r="AD29" s="138" t="s">
        <v>118</v>
      </c>
      <c r="AE29" s="83">
        <v>8760</v>
      </c>
      <c r="AF29" s="139">
        <v>1</v>
      </c>
      <c r="AG29" s="139">
        <f t="shared" si="0"/>
        <v>0.82191780821917804</v>
      </c>
      <c r="AH29" s="139">
        <v>0.6</v>
      </c>
      <c r="AI29" s="139">
        <v>0.6</v>
      </c>
      <c r="AJ29" s="83">
        <f t="shared" si="1"/>
        <v>2880</v>
      </c>
      <c r="AK29" s="83">
        <f t="shared" si="2"/>
        <v>4320</v>
      </c>
      <c r="AL29" s="104">
        <f t="shared" si="3"/>
        <v>9.9799331103678917</v>
      </c>
      <c r="AM29" s="104">
        <f t="shared" si="4"/>
        <v>9.9799331103678917</v>
      </c>
      <c r="AN29" s="83">
        <f t="shared" si="5"/>
        <v>28742.207357859526</v>
      </c>
      <c r="AO29" s="83">
        <f t="shared" si="6"/>
        <v>43113.311036789295</v>
      </c>
      <c r="AP29" s="182">
        <f t="shared" si="7"/>
        <v>98.072435414046794</v>
      </c>
      <c r="AQ29" s="182">
        <f t="shared" si="8"/>
        <v>147.1086531210702</v>
      </c>
      <c r="AR29" s="85"/>
      <c r="AS29" s="85"/>
      <c r="AT29" s="53"/>
      <c r="AU29" s="53"/>
      <c r="AV29" s="53"/>
      <c r="AW29" s="53"/>
      <c r="AX29" s="53"/>
      <c r="AY29" s="53"/>
      <c r="AZ29" s="53"/>
      <c r="BA29" s="53"/>
      <c r="BB29" s="53"/>
      <c r="BC29" s="111">
        <f t="shared" si="9"/>
        <v>28742.207357859526</v>
      </c>
      <c r="BD29" s="111">
        <f t="shared" si="10"/>
        <v>43113.311036789295</v>
      </c>
    </row>
    <row r="30" spans="1:56" ht="21" customHeight="1" x14ac:dyDescent="0.25">
      <c r="A30" s="53">
        <v>20</v>
      </c>
      <c r="B30" s="53"/>
      <c r="C30" s="53"/>
      <c r="D30" s="53" t="s">
        <v>135</v>
      </c>
      <c r="E30" s="53"/>
      <c r="F30" s="53"/>
      <c r="G30" s="53" t="s">
        <v>290</v>
      </c>
      <c r="H30" s="53" t="s">
        <v>291</v>
      </c>
      <c r="I30" s="85" t="s">
        <v>366</v>
      </c>
      <c r="J30" s="85" t="s">
        <v>508</v>
      </c>
      <c r="K30" s="85" t="s">
        <v>518</v>
      </c>
      <c r="L30" s="53" t="s">
        <v>216</v>
      </c>
      <c r="M30" s="53" t="s">
        <v>295</v>
      </c>
      <c r="N30" s="53"/>
      <c r="O30" s="85" t="s">
        <v>646</v>
      </c>
      <c r="P30" s="53">
        <v>1</v>
      </c>
      <c r="Q30" s="183">
        <v>10</v>
      </c>
      <c r="R30" s="84">
        <v>0.87050000000000005</v>
      </c>
      <c r="S30" s="53">
        <v>14</v>
      </c>
      <c r="T30" s="53"/>
      <c r="U30" s="53">
        <v>3</v>
      </c>
      <c r="V30" s="53">
        <v>480</v>
      </c>
      <c r="W30" s="53"/>
      <c r="X30" s="53"/>
      <c r="Y30" s="53"/>
      <c r="Z30" s="53"/>
      <c r="AA30" s="53"/>
      <c r="AB30" s="53"/>
      <c r="AC30" s="137" t="s">
        <v>124</v>
      </c>
      <c r="AD30" s="138" t="s">
        <v>118</v>
      </c>
      <c r="AE30" s="83">
        <v>8760</v>
      </c>
      <c r="AF30" s="139">
        <v>1</v>
      </c>
      <c r="AG30" s="139">
        <f t="shared" si="0"/>
        <v>0.82191780821917804</v>
      </c>
      <c r="AH30" s="139">
        <v>0.6</v>
      </c>
      <c r="AI30" s="139">
        <v>0.6</v>
      </c>
      <c r="AJ30" s="83">
        <f t="shared" si="1"/>
        <v>2880</v>
      </c>
      <c r="AK30" s="83">
        <f t="shared" si="2"/>
        <v>4320</v>
      </c>
      <c r="AL30" s="104">
        <f t="shared" si="3"/>
        <v>5.1418724870763919</v>
      </c>
      <c r="AM30" s="104">
        <f t="shared" si="4"/>
        <v>5.1418724870763919</v>
      </c>
      <c r="AN30" s="83">
        <f t="shared" si="5"/>
        <v>14808.592762780008</v>
      </c>
      <c r="AO30" s="83">
        <f t="shared" si="6"/>
        <v>22212.889144170014</v>
      </c>
      <c r="AP30" s="182">
        <f t="shared" si="7"/>
        <v>50.528991709592177</v>
      </c>
      <c r="AQ30" s="182">
        <f t="shared" si="8"/>
        <v>75.793487564388272</v>
      </c>
      <c r="AR30" s="85"/>
      <c r="AS30" s="85"/>
      <c r="AT30" s="53"/>
      <c r="AU30" s="53"/>
      <c r="AV30" s="53"/>
      <c r="AW30" s="53"/>
      <c r="AX30" s="53"/>
      <c r="AY30" s="53"/>
      <c r="AZ30" s="53"/>
      <c r="BA30" s="53"/>
      <c r="BB30" s="53"/>
      <c r="BC30" s="111">
        <f t="shared" si="9"/>
        <v>14808.592762780008</v>
      </c>
      <c r="BD30" s="111">
        <f t="shared" si="10"/>
        <v>22212.889144170014</v>
      </c>
    </row>
    <row r="31" spans="1:56" ht="21" customHeight="1" x14ac:dyDescent="0.25">
      <c r="A31" s="53">
        <v>21</v>
      </c>
      <c r="B31" s="53"/>
      <c r="C31" s="53"/>
      <c r="D31" s="53" t="s">
        <v>135</v>
      </c>
      <c r="E31" s="53"/>
      <c r="F31" s="53"/>
      <c r="G31" s="53" t="s">
        <v>290</v>
      </c>
      <c r="H31" s="53" t="s">
        <v>291</v>
      </c>
      <c r="I31" s="85" t="s">
        <v>366</v>
      </c>
      <c r="J31" s="85" t="s">
        <v>508</v>
      </c>
      <c r="K31" s="85" t="s">
        <v>520</v>
      </c>
      <c r="L31" s="53" t="s">
        <v>216</v>
      </c>
      <c r="M31" s="53" t="s">
        <v>295</v>
      </c>
      <c r="N31" s="53"/>
      <c r="O31" s="85" t="s">
        <v>647</v>
      </c>
      <c r="P31" s="53">
        <v>1</v>
      </c>
      <c r="Q31" s="183">
        <v>10</v>
      </c>
      <c r="R31" s="84">
        <v>0.87050000000000005</v>
      </c>
      <c r="S31" s="53">
        <v>14</v>
      </c>
      <c r="T31" s="53"/>
      <c r="U31" s="53">
        <v>3</v>
      </c>
      <c r="V31" s="53">
        <v>480</v>
      </c>
      <c r="W31" s="53"/>
      <c r="X31" s="53"/>
      <c r="Y31" s="53"/>
      <c r="Z31" s="53"/>
      <c r="AA31" s="53"/>
      <c r="AB31" s="53"/>
      <c r="AC31" s="137" t="s">
        <v>124</v>
      </c>
      <c r="AD31" s="138" t="s">
        <v>118</v>
      </c>
      <c r="AE31" s="83">
        <v>8760</v>
      </c>
      <c r="AF31" s="139">
        <v>1</v>
      </c>
      <c r="AG31" s="139">
        <f t="shared" si="0"/>
        <v>0.82191780821917804</v>
      </c>
      <c r="AH31" s="139">
        <v>0.6</v>
      </c>
      <c r="AI31" s="139">
        <v>0.6</v>
      </c>
      <c r="AJ31" s="83">
        <f t="shared" si="1"/>
        <v>2880</v>
      </c>
      <c r="AK31" s="83">
        <f t="shared" si="2"/>
        <v>4320</v>
      </c>
      <c r="AL31" s="104">
        <f t="shared" si="3"/>
        <v>5.1418724870763919</v>
      </c>
      <c r="AM31" s="104">
        <f t="shared" si="4"/>
        <v>5.1418724870763919</v>
      </c>
      <c r="AN31" s="83">
        <f t="shared" si="5"/>
        <v>14808.592762780008</v>
      </c>
      <c r="AO31" s="83">
        <f t="shared" si="6"/>
        <v>22212.889144170014</v>
      </c>
      <c r="AP31" s="182">
        <f t="shared" si="7"/>
        <v>50.528991709592177</v>
      </c>
      <c r="AQ31" s="182">
        <f t="shared" si="8"/>
        <v>75.793487564388272</v>
      </c>
      <c r="AR31" s="85"/>
      <c r="AS31" s="85"/>
      <c r="AT31" s="53"/>
      <c r="AU31" s="53"/>
      <c r="AV31" s="53"/>
      <c r="AW31" s="53"/>
      <c r="AX31" s="53"/>
      <c r="AY31" s="53"/>
      <c r="AZ31" s="53"/>
      <c r="BA31" s="53"/>
      <c r="BB31" s="53"/>
      <c r="BC31" s="111">
        <f t="shared" si="9"/>
        <v>14808.592762780008</v>
      </c>
      <c r="BD31" s="111">
        <f t="shared" si="10"/>
        <v>22212.889144170014</v>
      </c>
    </row>
    <row r="32" spans="1:56" ht="21" customHeight="1" x14ac:dyDescent="0.25">
      <c r="A32" s="53">
        <v>22</v>
      </c>
      <c r="B32" s="53"/>
      <c r="C32" s="53"/>
      <c r="D32" s="53" t="s">
        <v>135</v>
      </c>
      <c r="E32" s="53"/>
      <c r="F32" s="53"/>
      <c r="G32" s="53" t="s">
        <v>290</v>
      </c>
      <c r="H32" s="53" t="s">
        <v>291</v>
      </c>
      <c r="I32" s="85" t="s">
        <v>366</v>
      </c>
      <c r="J32" s="85" t="s">
        <v>508</v>
      </c>
      <c r="K32" s="85" t="s">
        <v>522</v>
      </c>
      <c r="L32" s="53" t="s">
        <v>216</v>
      </c>
      <c r="M32" s="53" t="s">
        <v>295</v>
      </c>
      <c r="N32" s="53"/>
      <c r="O32" s="85" t="s">
        <v>523</v>
      </c>
      <c r="P32" s="53">
        <v>1</v>
      </c>
      <c r="Q32" s="183">
        <v>20</v>
      </c>
      <c r="R32" s="84">
        <v>0.89700000000000002</v>
      </c>
      <c r="S32" s="53">
        <v>27</v>
      </c>
      <c r="T32" s="53"/>
      <c r="U32" s="53">
        <v>3</v>
      </c>
      <c r="V32" s="53">
        <v>480</v>
      </c>
      <c r="W32" s="53"/>
      <c r="X32" s="53"/>
      <c r="Y32" s="53"/>
      <c r="Z32" s="53"/>
      <c r="AA32" s="53"/>
      <c r="AB32" s="53"/>
      <c r="AC32" s="137" t="s">
        <v>124</v>
      </c>
      <c r="AD32" s="138" t="s">
        <v>118</v>
      </c>
      <c r="AE32" s="83">
        <v>8760</v>
      </c>
      <c r="AF32" s="139">
        <v>1</v>
      </c>
      <c r="AG32" s="139">
        <f t="shared" si="0"/>
        <v>0.82191780821917804</v>
      </c>
      <c r="AH32" s="139">
        <v>0.6</v>
      </c>
      <c r="AI32" s="139">
        <v>0.6</v>
      </c>
      <c r="AJ32" s="83">
        <f t="shared" si="1"/>
        <v>2880</v>
      </c>
      <c r="AK32" s="83">
        <f t="shared" si="2"/>
        <v>4320</v>
      </c>
      <c r="AL32" s="104">
        <f t="shared" si="3"/>
        <v>9.9799331103678917</v>
      </c>
      <c r="AM32" s="104">
        <f t="shared" si="4"/>
        <v>9.9799331103678917</v>
      </c>
      <c r="AN32" s="83">
        <f t="shared" si="5"/>
        <v>28742.207357859526</v>
      </c>
      <c r="AO32" s="83">
        <f t="shared" si="6"/>
        <v>43113.311036789295</v>
      </c>
      <c r="AP32" s="182">
        <f t="shared" si="7"/>
        <v>98.072435414046794</v>
      </c>
      <c r="AQ32" s="182">
        <f t="shared" si="8"/>
        <v>147.1086531210702</v>
      </c>
      <c r="AR32" s="85"/>
      <c r="AS32" s="85"/>
      <c r="AT32" s="53"/>
      <c r="AU32" s="53"/>
      <c r="AV32" s="53"/>
      <c r="AW32" s="53"/>
      <c r="AX32" s="53"/>
      <c r="AY32" s="53"/>
      <c r="AZ32" s="53"/>
      <c r="BA32" s="53"/>
      <c r="BB32" s="53"/>
      <c r="BC32" s="111">
        <f t="shared" si="9"/>
        <v>28742.207357859526</v>
      </c>
      <c r="BD32" s="111">
        <f t="shared" si="10"/>
        <v>43113.311036789295</v>
      </c>
    </row>
    <row r="33" spans="1:56" ht="21" customHeight="1" x14ac:dyDescent="0.25">
      <c r="A33" s="53">
        <v>23</v>
      </c>
      <c r="B33" s="53"/>
      <c r="C33" s="53"/>
      <c r="D33" s="53" t="s">
        <v>135</v>
      </c>
      <c r="E33" s="53"/>
      <c r="F33" s="53"/>
      <c r="G33" s="53" t="s">
        <v>290</v>
      </c>
      <c r="H33" s="53" t="s">
        <v>291</v>
      </c>
      <c r="I33" s="85" t="s">
        <v>366</v>
      </c>
      <c r="J33" s="85" t="s">
        <v>508</v>
      </c>
      <c r="K33" s="85" t="s">
        <v>525</v>
      </c>
      <c r="L33" s="53" t="s">
        <v>216</v>
      </c>
      <c r="M33" s="53" t="s">
        <v>295</v>
      </c>
      <c r="N33" s="53"/>
      <c r="O33" s="85" t="s">
        <v>526</v>
      </c>
      <c r="P33" s="53">
        <v>1</v>
      </c>
      <c r="Q33" s="183">
        <v>20</v>
      </c>
      <c r="R33" s="84">
        <v>0.89700000000000002</v>
      </c>
      <c r="S33" s="53">
        <v>27</v>
      </c>
      <c r="T33" s="53"/>
      <c r="U33" s="53">
        <v>3</v>
      </c>
      <c r="V33" s="53">
        <v>480</v>
      </c>
      <c r="W33" s="53"/>
      <c r="X33" s="53"/>
      <c r="Y33" s="53"/>
      <c r="Z33" s="53"/>
      <c r="AA33" s="53"/>
      <c r="AB33" s="53"/>
      <c r="AC33" s="137" t="s">
        <v>124</v>
      </c>
      <c r="AD33" s="138" t="s">
        <v>118</v>
      </c>
      <c r="AE33" s="83">
        <v>8760</v>
      </c>
      <c r="AF33" s="139">
        <v>1</v>
      </c>
      <c r="AG33" s="139">
        <f t="shared" si="0"/>
        <v>0.82191780821917804</v>
      </c>
      <c r="AH33" s="139">
        <v>0.6</v>
      </c>
      <c r="AI33" s="139">
        <v>0.6</v>
      </c>
      <c r="AJ33" s="83">
        <f t="shared" si="1"/>
        <v>2880</v>
      </c>
      <c r="AK33" s="83">
        <f t="shared" si="2"/>
        <v>4320</v>
      </c>
      <c r="AL33" s="104">
        <f t="shared" si="3"/>
        <v>9.9799331103678917</v>
      </c>
      <c r="AM33" s="104">
        <f t="shared" si="4"/>
        <v>9.9799331103678917</v>
      </c>
      <c r="AN33" s="83">
        <f t="shared" si="5"/>
        <v>28742.207357859526</v>
      </c>
      <c r="AO33" s="83">
        <f t="shared" si="6"/>
        <v>43113.311036789295</v>
      </c>
      <c r="AP33" s="182">
        <f t="shared" si="7"/>
        <v>98.072435414046794</v>
      </c>
      <c r="AQ33" s="182">
        <f t="shared" si="8"/>
        <v>147.1086531210702</v>
      </c>
      <c r="AR33" s="85"/>
      <c r="AS33" s="85"/>
      <c r="AT33" s="53"/>
      <c r="AU33" s="53"/>
      <c r="AV33" s="53"/>
      <c r="AW33" s="53"/>
      <c r="AX33" s="53"/>
      <c r="AY33" s="53"/>
      <c r="AZ33" s="53"/>
      <c r="BA33" s="53"/>
      <c r="BB33" s="53"/>
      <c r="BC33" s="111">
        <f t="shared" si="9"/>
        <v>28742.207357859526</v>
      </c>
      <c r="BD33" s="111">
        <f t="shared" si="10"/>
        <v>43113.311036789295</v>
      </c>
    </row>
    <row r="34" spans="1:56" ht="21" customHeight="1" x14ac:dyDescent="0.25">
      <c r="A34" s="53">
        <v>24</v>
      </c>
      <c r="B34" s="53"/>
      <c r="C34" s="53"/>
      <c r="D34" s="53" t="s">
        <v>135</v>
      </c>
      <c r="E34" s="53"/>
      <c r="F34" s="53"/>
      <c r="G34" s="53" t="s">
        <v>290</v>
      </c>
      <c r="H34" s="53" t="s">
        <v>291</v>
      </c>
      <c r="I34" s="85" t="s">
        <v>366</v>
      </c>
      <c r="J34" s="85" t="s">
        <v>508</v>
      </c>
      <c r="K34" s="85" t="s">
        <v>528</v>
      </c>
      <c r="L34" s="53" t="s">
        <v>216</v>
      </c>
      <c r="M34" s="53" t="s">
        <v>295</v>
      </c>
      <c r="N34" s="53"/>
      <c r="O34" s="85" t="s">
        <v>529</v>
      </c>
      <c r="P34" s="53">
        <v>1</v>
      </c>
      <c r="Q34" s="183">
        <v>20</v>
      </c>
      <c r="R34" s="84">
        <v>0.89700000000000002</v>
      </c>
      <c r="S34" s="53">
        <v>27</v>
      </c>
      <c r="T34" s="53"/>
      <c r="U34" s="53">
        <v>3</v>
      </c>
      <c r="V34" s="53">
        <v>480</v>
      </c>
      <c r="W34" s="53"/>
      <c r="X34" s="53"/>
      <c r="Y34" s="53"/>
      <c r="Z34" s="53"/>
      <c r="AA34" s="53"/>
      <c r="AB34" s="53"/>
      <c r="AC34" s="137" t="s">
        <v>124</v>
      </c>
      <c r="AD34" s="138" t="s">
        <v>118</v>
      </c>
      <c r="AE34" s="83">
        <v>8760</v>
      </c>
      <c r="AF34" s="139">
        <v>1</v>
      </c>
      <c r="AG34" s="139">
        <f t="shared" si="0"/>
        <v>0.82191780821917804</v>
      </c>
      <c r="AH34" s="139">
        <v>0.6</v>
      </c>
      <c r="AI34" s="139">
        <v>0.6</v>
      </c>
      <c r="AJ34" s="83">
        <f t="shared" si="1"/>
        <v>2880</v>
      </c>
      <c r="AK34" s="83">
        <f t="shared" si="2"/>
        <v>4320</v>
      </c>
      <c r="AL34" s="104">
        <f t="shared" si="3"/>
        <v>9.9799331103678917</v>
      </c>
      <c r="AM34" s="104">
        <f t="shared" si="4"/>
        <v>9.9799331103678917</v>
      </c>
      <c r="AN34" s="83">
        <f t="shared" si="5"/>
        <v>28742.207357859526</v>
      </c>
      <c r="AO34" s="83">
        <f t="shared" si="6"/>
        <v>43113.311036789295</v>
      </c>
      <c r="AP34" s="182">
        <f t="shared" si="7"/>
        <v>98.072435414046794</v>
      </c>
      <c r="AQ34" s="182">
        <f t="shared" si="8"/>
        <v>147.1086531210702</v>
      </c>
      <c r="AR34" s="85"/>
      <c r="AS34" s="85"/>
      <c r="AT34" s="53"/>
      <c r="AU34" s="53"/>
      <c r="AV34" s="53"/>
      <c r="AW34" s="53"/>
      <c r="AX34" s="53"/>
      <c r="AY34" s="53"/>
      <c r="AZ34" s="53"/>
      <c r="BA34" s="53"/>
      <c r="BB34" s="53"/>
      <c r="BC34" s="111">
        <f t="shared" si="9"/>
        <v>28742.207357859526</v>
      </c>
      <c r="BD34" s="111">
        <f t="shared" si="10"/>
        <v>43113.311036789295</v>
      </c>
    </row>
    <row r="35" spans="1:56" ht="21" customHeight="1" x14ac:dyDescent="0.25">
      <c r="A35" s="53">
        <v>25</v>
      </c>
      <c r="B35" s="53"/>
      <c r="C35" s="53"/>
      <c r="D35" s="53" t="s">
        <v>135</v>
      </c>
      <c r="E35" s="53"/>
      <c r="F35" s="53"/>
      <c r="G35" s="53" t="s">
        <v>290</v>
      </c>
      <c r="H35" s="53" t="s">
        <v>291</v>
      </c>
      <c r="I35" s="85" t="s">
        <v>366</v>
      </c>
      <c r="J35" s="85" t="s">
        <v>508</v>
      </c>
      <c r="K35" s="85" t="s">
        <v>693</v>
      </c>
      <c r="L35" s="53" t="s">
        <v>216</v>
      </c>
      <c r="M35" s="53" t="s">
        <v>295</v>
      </c>
      <c r="N35" s="53"/>
      <c r="O35" s="85" t="s">
        <v>694</v>
      </c>
      <c r="P35" s="53">
        <v>1</v>
      </c>
      <c r="Q35" s="183">
        <v>7.5</v>
      </c>
      <c r="R35" s="84">
        <v>0.87050000000000005</v>
      </c>
      <c r="S35" s="53">
        <v>10</v>
      </c>
      <c r="T35" s="53"/>
      <c r="U35" s="53">
        <v>3</v>
      </c>
      <c r="V35" s="53">
        <v>480</v>
      </c>
      <c r="W35" s="53"/>
      <c r="X35" s="53"/>
      <c r="Y35" s="53"/>
      <c r="Z35" s="53"/>
      <c r="AA35" s="53"/>
      <c r="AB35" s="53"/>
      <c r="AC35" s="137" t="s">
        <v>124</v>
      </c>
      <c r="AD35" s="138" t="s">
        <v>118</v>
      </c>
      <c r="AE35" s="83">
        <v>8760</v>
      </c>
      <c r="AF35" s="139">
        <v>1</v>
      </c>
      <c r="AG35" s="139">
        <f t="shared" si="0"/>
        <v>0.82191780821917804</v>
      </c>
      <c r="AH35" s="139">
        <v>0.6</v>
      </c>
      <c r="AI35" s="139">
        <v>0.6</v>
      </c>
      <c r="AJ35" s="83">
        <f t="shared" si="1"/>
        <v>2880</v>
      </c>
      <c r="AK35" s="83">
        <f t="shared" si="2"/>
        <v>4320</v>
      </c>
      <c r="AL35" s="104">
        <f t="shared" si="3"/>
        <v>3.8564043653072941</v>
      </c>
      <c r="AM35" s="104">
        <f t="shared" si="4"/>
        <v>3.8564043653072941</v>
      </c>
      <c r="AN35" s="83">
        <f t="shared" si="5"/>
        <v>11106.444572085007</v>
      </c>
      <c r="AO35" s="83">
        <f t="shared" si="6"/>
        <v>16659.666858127512</v>
      </c>
      <c r="AP35" s="182">
        <f t="shared" si="7"/>
        <v>37.896743782194136</v>
      </c>
      <c r="AQ35" s="182">
        <f t="shared" si="8"/>
        <v>56.845115673291204</v>
      </c>
      <c r="AR35" s="85"/>
      <c r="AS35" s="85"/>
      <c r="AT35" s="53"/>
      <c r="AU35" s="53"/>
      <c r="AV35" s="53"/>
      <c r="AW35" s="53"/>
      <c r="AX35" s="53"/>
      <c r="AY35" s="53"/>
      <c r="AZ35" s="53"/>
      <c r="BA35" s="53"/>
      <c r="BB35" s="53"/>
      <c r="BC35" s="111">
        <f t="shared" si="9"/>
        <v>11106.444572085007</v>
      </c>
      <c r="BD35" s="111">
        <f t="shared" si="10"/>
        <v>16659.666858127512</v>
      </c>
    </row>
    <row r="36" spans="1:56" ht="62.25" customHeight="1" x14ac:dyDescent="0.25">
      <c r="A36" s="53">
        <v>26</v>
      </c>
      <c r="B36" s="53"/>
      <c r="C36" s="53"/>
      <c r="D36" s="53" t="s">
        <v>135</v>
      </c>
      <c r="E36" s="53"/>
      <c r="F36" s="53"/>
      <c r="G36" s="53" t="s">
        <v>290</v>
      </c>
      <c r="H36" s="53" t="s">
        <v>291</v>
      </c>
      <c r="I36" s="85" t="s">
        <v>368</v>
      </c>
      <c r="J36" s="85" t="s">
        <v>758</v>
      </c>
      <c r="K36" s="85" t="s">
        <v>762</v>
      </c>
      <c r="L36" s="53" t="s">
        <v>216</v>
      </c>
      <c r="M36" s="53" t="s">
        <v>361</v>
      </c>
      <c r="N36" s="53"/>
      <c r="O36" s="85" t="s">
        <v>135</v>
      </c>
      <c r="P36" s="53">
        <v>1</v>
      </c>
      <c r="Q36" s="183">
        <v>3</v>
      </c>
      <c r="R36" s="84">
        <v>0.87050000000000005</v>
      </c>
      <c r="S36" s="53">
        <v>4.8</v>
      </c>
      <c r="T36" s="53"/>
      <c r="U36" s="53">
        <v>3</v>
      </c>
      <c r="V36" s="53">
        <v>480</v>
      </c>
      <c r="W36" s="53"/>
      <c r="X36" s="53"/>
      <c r="Y36" s="53"/>
      <c r="Z36" s="53"/>
      <c r="AA36" s="53"/>
      <c r="AB36" s="53"/>
      <c r="AC36" s="137" t="s">
        <v>124</v>
      </c>
      <c r="AD36" s="138" t="s">
        <v>118</v>
      </c>
      <c r="AE36" s="83">
        <v>8760</v>
      </c>
      <c r="AF36" s="139">
        <v>1</v>
      </c>
      <c r="AG36" s="139">
        <f t="shared" si="0"/>
        <v>0.82191780821917804</v>
      </c>
      <c r="AH36" s="139">
        <v>0.75</v>
      </c>
      <c r="AI36" s="139">
        <v>0.75</v>
      </c>
      <c r="AJ36" s="83">
        <f t="shared" si="1"/>
        <v>2880</v>
      </c>
      <c r="AK36" s="83">
        <f t="shared" si="2"/>
        <v>4320</v>
      </c>
      <c r="AL36" s="104">
        <f t="shared" si="3"/>
        <v>1.9282021826536473</v>
      </c>
      <c r="AM36" s="104">
        <f t="shared" si="4"/>
        <v>1.9282021826536473</v>
      </c>
      <c r="AN36" s="83">
        <f t="shared" si="5"/>
        <v>5553.2222860425045</v>
      </c>
      <c r="AO36" s="83">
        <f t="shared" si="6"/>
        <v>8329.8334290637558</v>
      </c>
      <c r="AP36" s="182">
        <f t="shared" si="7"/>
        <v>18.948371891097068</v>
      </c>
      <c r="AQ36" s="182">
        <f t="shared" si="8"/>
        <v>28.422557836645602</v>
      </c>
      <c r="AR36" s="85"/>
      <c r="AS36" s="85"/>
      <c r="AT36" s="53"/>
      <c r="AU36" s="53"/>
      <c r="AV36" s="53"/>
      <c r="AW36" s="53"/>
      <c r="AX36" s="53"/>
      <c r="AY36" s="53"/>
      <c r="AZ36" s="53"/>
      <c r="BA36" s="53"/>
      <c r="BB36" s="53"/>
      <c r="BC36" s="111">
        <f t="shared" si="9"/>
        <v>5553.2222860425045</v>
      </c>
      <c r="BD36" s="111">
        <f t="shared" si="10"/>
        <v>8329.8334290637558</v>
      </c>
    </row>
    <row r="37" spans="1:56" ht="54" customHeight="1" x14ac:dyDescent="0.25">
      <c r="A37" s="53">
        <v>27</v>
      </c>
      <c r="B37" s="53"/>
      <c r="C37" s="53"/>
      <c r="D37" s="53" t="s">
        <v>135</v>
      </c>
      <c r="E37" s="53"/>
      <c r="F37" s="53"/>
      <c r="G37" s="53" t="s">
        <v>290</v>
      </c>
      <c r="H37" s="53" t="s">
        <v>291</v>
      </c>
      <c r="I37" s="85" t="s">
        <v>368</v>
      </c>
      <c r="J37" s="85" t="s">
        <v>718</v>
      </c>
      <c r="K37" s="85" t="s">
        <v>747</v>
      </c>
      <c r="L37" s="53" t="s">
        <v>216</v>
      </c>
      <c r="M37" s="53" t="s">
        <v>295</v>
      </c>
      <c r="N37" s="53"/>
      <c r="O37" s="85" t="s">
        <v>135</v>
      </c>
      <c r="P37" s="53">
        <v>1</v>
      </c>
      <c r="Q37" s="183">
        <v>5</v>
      </c>
      <c r="R37" s="84">
        <v>0.87050000000000005</v>
      </c>
      <c r="S37" s="53">
        <v>7.6</v>
      </c>
      <c r="T37" s="53"/>
      <c r="U37" s="53">
        <v>3</v>
      </c>
      <c r="V37" s="53">
        <v>480</v>
      </c>
      <c r="W37" s="53"/>
      <c r="X37" s="53"/>
      <c r="Y37" s="53"/>
      <c r="Z37" s="53"/>
      <c r="AA37" s="53"/>
      <c r="AB37" s="53"/>
      <c r="AC37" s="137" t="s">
        <v>124</v>
      </c>
      <c r="AD37" s="138" t="s">
        <v>118</v>
      </c>
      <c r="AE37" s="83">
        <v>8760</v>
      </c>
      <c r="AF37" s="139">
        <v>1</v>
      </c>
      <c r="AG37" s="139">
        <f t="shared" si="0"/>
        <v>0.82191780821917804</v>
      </c>
      <c r="AH37" s="139">
        <v>0.6</v>
      </c>
      <c r="AI37" s="139">
        <v>0.6</v>
      </c>
      <c r="AJ37" s="83">
        <f t="shared" si="1"/>
        <v>2880</v>
      </c>
      <c r="AK37" s="83">
        <f t="shared" si="2"/>
        <v>4320</v>
      </c>
      <c r="AL37" s="104">
        <f t="shared" si="3"/>
        <v>2.5709362435381959</v>
      </c>
      <c r="AM37" s="104">
        <f t="shared" si="4"/>
        <v>2.5709362435381959</v>
      </c>
      <c r="AN37" s="83">
        <f t="shared" si="5"/>
        <v>7404.2963813900042</v>
      </c>
      <c r="AO37" s="83">
        <f t="shared" si="6"/>
        <v>11106.444572085007</v>
      </c>
      <c r="AP37" s="182">
        <f t="shared" si="7"/>
        <v>25.264495854796088</v>
      </c>
      <c r="AQ37" s="182">
        <f t="shared" si="8"/>
        <v>37.896743782194136</v>
      </c>
      <c r="AR37" s="85"/>
      <c r="AS37" s="85"/>
      <c r="AT37" s="53"/>
      <c r="AU37" s="53"/>
      <c r="AV37" s="53"/>
      <c r="AW37" s="53"/>
      <c r="AX37" s="53"/>
      <c r="AY37" s="53"/>
      <c r="AZ37" s="53"/>
      <c r="BA37" s="53"/>
      <c r="BB37" s="53"/>
      <c r="BC37" s="111">
        <f t="shared" si="9"/>
        <v>7404.2963813900042</v>
      </c>
      <c r="BD37" s="111">
        <f t="shared" si="10"/>
        <v>11106.444572085007</v>
      </c>
    </row>
    <row r="38" spans="1:56" ht="59.25" customHeight="1" x14ac:dyDescent="0.25">
      <c r="A38" s="53">
        <v>28</v>
      </c>
      <c r="B38" s="53"/>
      <c r="C38" s="53"/>
      <c r="D38" s="53" t="s">
        <v>135</v>
      </c>
      <c r="E38" s="53"/>
      <c r="F38" s="53"/>
      <c r="G38" s="53" t="s">
        <v>290</v>
      </c>
      <c r="H38" s="53" t="s">
        <v>291</v>
      </c>
      <c r="I38" s="85" t="s">
        <v>368</v>
      </c>
      <c r="J38" s="85" t="s">
        <v>718</v>
      </c>
      <c r="K38" s="85" t="s">
        <v>719</v>
      </c>
      <c r="L38" s="53" t="s">
        <v>216</v>
      </c>
      <c r="M38" s="53" t="s">
        <v>295</v>
      </c>
      <c r="N38" s="53"/>
      <c r="O38" s="85" t="s">
        <v>135</v>
      </c>
      <c r="P38" s="53">
        <v>1</v>
      </c>
      <c r="Q38" s="183">
        <v>5</v>
      </c>
      <c r="R38" s="84">
        <v>0.87050000000000005</v>
      </c>
      <c r="S38" s="53">
        <v>7.6</v>
      </c>
      <c r="T38" s="53"/>
      <c r="U38" s="53">
        <v>3</v>
      </c>
      <c r="V38" s="53">
        <v>480</v>
      </c>
      <c r="W38" s="53"/>
      <c r="X38" s="53"/>
      <c r="Y38" s="53"/>
      <c r="Z38" s="53"/>
      <c r="AA38" s="53"/>
      <c r="AB38" s="53"/>
      <c r="AC38" s="137" t="s">
        <v>124</v>
      </c>
      <c r="AD38" s="138" t="s">
        <v>118</v>
      </c>
      <c r="AE38" s="83">
        <v>8760</v>
      </c>
      <c r="AF38" s="139">
        <v>1</v>
      </c>
      <c r="AG38" s="139">
        <f t="shared" si="0"/>
        <v>0.82191780821917804</v>
      </c>
      <c r="AH38" s="139">
        <v>0.75</v>
      </c>
      <c r="AI38" s="139">
        <v>0.75</v>
      </c>
      <c r="AJ38" s="83">
        <f t="shared" si="1"/>
        <v>2880</v>
      </c>
      <c r="AK38" s="83">
        <f t="shared" si="2"/>
        <v>4320</v>
      </c>
      <c r="AL38" s="104">
        <f t="shared" si="3"/>
        <v>3.2136703044227453</v>
      </c>
      <c r="AM38" s="104">
        <f t="shared" si="4"/>
        <v>3.2136703044227453</v>
      </c>
      <c r="AN38" s="83">
        <f t="shared" si="5"/>
        <v>9255.3704767375057</v>
      </c>
      <c r="AO38" s="83">
        <f t="shared" si="6"/>
        <v>13883.05571510626</v>
      </c>
      <c r="AP38" s="182">
        <f t="shared" si="7"/>
        <v>31.580619818495109</v>
      </c>
      <c r="AQ38" s="182">
        <f t="shared" si="8"/>
        <v>47.37092972774267</v>
      </c>
      <c r="AR38" s="85"/>
      <c r="AS38" s="85"/>
      <c r="AT38" s="53"/>
      <c r="AU38" s="53"/>
      <c r="AV38" s="53"/>
      <c r="AW38" s="53"/>
      <c r="AX38" s="53"/>
      <c r="AY38" s="53"/>
      <c r="AZ38" s="53"/>
      <c r="BA38" s="53"/>
      <c r="BB38" s="53"/>
      <c r="BC38" s="111">
        <f t="shared" si="9"/>
        <v>9255.3704767375057</v>
      </c>
      <c r="BD38" s="111">
        <f t="shared" si="10"/>
        <v>13883.05571510626</v>
      </c>
    </row>
    <row r="39" spans="1:56" ht="38.25" customHeight="1" x14ac:dyDescent="0.25">
      <c r="A39" s="53">
        <v>29</v>
      </c>
      <c r="B39" s="53"/>
      <c r="C39" s="53"/>
      <c r="D39" s="53" t="s">
        <v>135</v>
      </c>
      <c r="E39" s="53"/>
      <c r="F39" s="53"/>
      <c r="G39" s="53" t="s">
        <v>290</v>
      </c>
      <c r="H39" s="53" t="s">
        <v>291</v>
      </c>
      <c r="I39" s="85" t="s">
        <v>368</v>
      </c>
      <c r="J39" s="85" t="s">
        <v>758</v>
      </c>
      <c r="K39" s="85" t="s">
        <v>757</v>
      </c>
      <c r="L39" s="53" t="s">
        <v>216</v>
      </c>
      <c r="M39" s="53" t="s">
        <v>361</v>
      </c>
      <c r="N39" s="53"/>
      <c r="O39" s="85" t="s">
        <v>135</v>
      </c>
      <c r="P39" s="53">
        <v>1</v>
      </c>
      <c r="Q39" s="183">
        <v>3</v>
      </c>
      <c r="R39" s="84">
        <v>0.87050000000000005</v>
      </c>
      <c r="S39" s="53">
        <v>4.8</v>
      </c>
      <c r="T39" s="53"/>
      <c r="U39" s="53">
        <v>3</v>
      </c>
      <c r="V39" s="53">
        <v>480</v>
      </c>
      <c r="W39" s="53"/>
      <c r="X39" s="53"/>
      <c r="Y39" s="53"/>
      <c r="Z39" s="53"/>
      <c r="AA39" s="53"/>
      <c r="AB39" s="53"/>
      <c r="AC39" s="137" t="s">
        <v>124</v>
      </c>
      <c r="AD39" s="138" t="s">
        <v>118</v>
      </c>
      <c r="AE39" s="83">
        <v>8760</v>
      </c>
      <c r="AF39" s="139">
        <v>1</v>
      </c>
      <c r="AG39" s="139">
        <f t="shared" si="0"/>
        <v>0.82191780821917804</v>
      </c>
      <c r="AH39" s="139">
        <v>0.75</v>
      </c>
      <c r="AI39" s="139">
        <v>0.75</v>
      </c>
      <c r="AJ39" s="83">
        <f t="shared" si="1"/>
        <v>2880</v>
      </c>
      <c r="AK39" s="83">
        <f t="shared" si="2"/>
        <v>4320</v>
      </c>
      <c r="AL39" s="104">
        <f t="shared" si="3"/>
        <v>1.9282021826536473</v>
      </c>
      <c r="AM39" s="104">
        <f t="shared" si="4"/>
        <v>1.9282021826536473</v>
      </c>
      <c r="AN39" s="83">
        <f t="shared" si="5"/>
        <v>5553.2222860425045</v>
      </c>
      <c r="AO39" s="83">
        <f t="shared" si="6"/>
        <v>8329.8334290637558</v>
      </c>
      <c r="AP39" s="182">
        <f t="shared" si="7"/>
        <v>18.948371891097068</v>
      </c>
      <c r="AQ39" s="182">
        <f t="shared" si="8"/>
        <v>28.422557836645602</v>
      </c>
      <c r="AR39" s="85"/>
      <c r="AS39" s="85"/>
      <c r="AT39" s="53"/>
      <c r="AU39" s="53"/>
      <c r="AV39" s="53"/>
      <c r="AW39" s="53"/>
      <c r="AX39" s="53"/>
      <c r="AY39" s="53"/>
      <c r="AZ39" s="53"/>
      <c r="BA39" s="53"/>
      <c r="BB39" s="53"/>
      <c r="BC39" s="111">
        <f t="shared" si="9"/>
        <v>5553.2222860425045</v>
      </c>
      <c r="BD39" s="111">
        <f t="shared" si="10"/>
        <v>8329.8334290637558</v>
      </c>
    </row>
    <row r="40" spans="1:56" ht="44.25" customHeight="1" x14ac:dyDescent="0.25">
      <c r="A40" s="53">
        <v>30</v>
      </c>
      <c r="B40" s="53"/>
      <c r="C40" s="53"/>
      <c r="D40" s="53" t="s">
        <v>135</v>
      </c>
      <c r="E40" s="53"/>
      <c r="F40" s="53"/>
      <c r="G40" s="53" t="s">
        <v>290</v>
      </c>
      <c r="H40" s="53" t="s">
        <v>291</v>
      </c>
      <c r="I40" s="85" t="s">
        <v>368</v>
      </c>
      <c r="J40" s="85" t="s">
        <v>718</v>
      </c>
      <c r="K40" s="85" t="s">
        <v>743</v>
      </c>
      <c r="L40" s="53" t="s">
        <v>216</v>
      </c>
      <c r="M40" s="53" t="s">
        <v>295</v>
      </c>
      <c r="N40" s="53"/>
      <c r="O40" s="85" t="s">
        <v>135</v>
      </c>
      <c r="P40" s="53">
        <v>1</v>
      </c>
      <c r="Q40" s="183">
        <v>5</v>
      </c>
      <c r="R40" s="84">
        <v>0.87050000000000005</v>
      </c>
      <c r="S40" s="53">
        <v>7.6</v>
      </c>
      <c r="T40" s="53"/>
      <c r="U40" s="53">
        <v>3</v>
      </c>
      <c r="V40" s="53">
        <v>480</v>
      </c>
      <c r="W40" s="53"/>
      <c r="X40" s="53"/>
      <c r="Y40" s="53"/>
      <c r="Z40" s="53"/>
      <c r="AA40" s="53"/>
      <c r="AB40" s="53"/>
      <c r="AC40" s="137" t="s">
        <v>124</v>
      </c>
      <c r="AD40" s="138" t="s">
        <v>118</v>
      </c>
      <c r="AE40" s="83">
        <v>8760</v>
      </c>
      <c r="AF40" s="139">
        <v>1</v>
      </c>
      <c r="AG40" s="139">
        <f t="shared" si="0"/>
        <v>0.82191780821917804</v>
      </c>
      <c r="AH40" s="139">
        <v>0.6</v>
      </c>
      <c r="AI40" s="139">
        <v>0.6</v>
      </c>
      <c r="AJ40" s="83">
        <f t="shared" si="1"/>
        <v>2880</v>
      </c>
      <c r="AK40" s="83">
        <f t="shared" si="2"/>
        <v>4320</v>
      </c>
      <c r="AL40" s="104">
        <f t="shared" si="3"/>
        <v>2.5709362435381959</v>
      </c>
      <c r="AM40" s="104">
        <f t="shared" si="4"/>
        <v>2.5709362435381959</v>
      </c>
      <c r="AN40" s="83">
        <f t="shared" si="5"/>
        <v>7404.2963813900042</v>
      </c>
      <c r="AO40" s="83">
        <f t="shared" si="6"/>
        <v>11106.444572085007</v>
      </c>
      <c r="AP40" s="182">
        <f t="shared" si="7"/>
        <v>25.264495854796088</v>
      </c>
      <c r="AQ40" s="182">
        <f t="shared" si="8"/>
        <v>37.896743782194136</v>
      </c>
      <c r="AR40" s="85"/>
      <c r="AS40" s="85"/>
      <c r="AT40" s="53"/>
      <c r="AU40" s="53"/>
      <c r="AV40" s="53"/>
      <c r="AW40" s="53"/>
      <c r="AX40" s="53"/>
      <c r="AY40" s="53"/>
      <c r="AZ40" s="53"/>
      <c r="BA40" s="53"/>
      <c r="BB40" s="53"/>
      <c r="BC40" s="111">
        <f t="shared" si="9"/>
        <v>7404.2963813900042</v>
      </c>
      <c r="BD40" s="111">
        <f t="shared" si="10"/>
        <v>11106.444572085007</v>
      </c>
    </row>
    <row r="41" spans="1:56" ht="21" customHeight="1" x14ac:dyDescent="0.25">
      <c r="A41" s="53">
        <v>31</v>
      </c>
      <c r="B41" s="53"/>
      <c r="C41" s="53"/>
      <c r="D41" s="53" t="s">
        <v>135</v>
      </c>
      <c r="E41" s="53"/>
      <c r="F41" s="53"/>
      <c r="G41" s="53" t="s">
        <v>290</v>
      </c>
      <c r="H41" s="53" t="s">
        <v>291</v>
      </c>
      <c r="I41" s="85" t="s">
        <v>368</v>
      </c>
      <c r="J41" s="85" t="s">
        <v>718</v>
      </c>
      <c r="K41" s="85" t="s">
        <v>744</v>
      </c>
      <c r="L41" s="53" t="s">
        <v>216</v>
      </c>
      <c r="M41" s="53" t="s">
        <v>295</v>
      </c>
      <c r="N41" s="53"/>
      <c r="O41" s="85" t="s">
        <v>135</v>
      </c>
      <c r="P41" s="53">
        <v>1</v>
      </c>
      <c r="Q41" s="183">
        <v>5</v>
      </c>
      <c r="R41" s="84">
        <v>0.87050000000000005</v>
      </c>
      <c r="S41" s="53">
        <v>7.6</v>
      </c>
      <c r="T41" s="53"/>
      <c r="U41" s="53">
        <v>3</v>
      </c>
      <c r="V41" s="53">
        <v>480</v>
      </c>
      <c r="W41" s="53"/>
      <c r="X41" s="53"/>
      <c r="Y41" s="53"/>
      <c r="Z41" s="53"/>
      <c r="AA41" s="53"/>
      <c r="AB41" s="53"/>
      <c r="AC41" s="137" t="s">
        <v>124</v>
      </c>
      <c r="AD41" s="138" t="s">
        <v>118</v>
      </c>
      <c r="AE41" s="83">
        <v>8760</v>
      </c>
      <c r="AF41" s="139">
        <v>1</v>
      </c>
      <c r="AG41" s="139">
        <f t="shared" si="0"/>
        <v>0.82191780821917804</v>
      </c>
      <c r="AH41" s="139">
        <v>0.6</v>
      </c>
      <c r="AI41" s="139">
        <v>0.6</v>
      </c>
      <c r="AJ41" s="83">
        <f t="shared" si="1"/>
        <v>2880</v>
      </c>
      <c r="AK41" s="83">
        <f t="shared" si="2"/>
        <v>4320</v>
      </c>
      <c r="AL41" s="104">
        <f t="shared" si="3"/>
        <v>2.5709362435381959</v>
      </c>
      <c r="AM41" s="104">
        <f t="shared" si="4"/>
        <v>2.5709362435381959</v>
      </c>
      <c r="AN41" s="83">
        <f t="shared" si="5"/>
        <v>7404.2963813900042</v>
      </c>
      <c r="AO41" s="83">
        <f t="shared" si="6"/>
        <v>11106.444572085007</v>
      </c>
      <c r="AP41" s="182">
        <f t="shared" si="7"/>
        <v>25.264495854796088</v>
      </c>
      <c r="AQ41" s="182">
        <f t="shared" si="8"/>
        <v>37.896743782194136</v>
      </c>
      <c r="AR41" s="85"/>
      <c r="AS41" s="85"/>
      <c r="AT41" s="53"/>
      <c r="AU41" s="53"/>
      <c r="AV41" s="53"/>
      <c r="AW41" s="53"/>
      <c r="AX41" s="53"/>
      <c r="AY41" s="53"/>
      <c r="AZ41" s="53"/>
      <c r="BA41" s="53"/>
      <c r="BB41" s="53"/>
      <c r="BC41" s="111">
        <f t="shared" si="9"/>
        <v>7404.2963813900042</v>
      </c>
      <c r="BD41" s="111">
        <f t="shared" si="10"/>
        <v>11106.444572085007</v>
      </c>
    </row>
    <row r="42" spans="1:56" ht="21" customHeight="1" x14ac:dyDescent="0.25">
      <c r="A42" s="53">
        <v>32</v>
      </c>
      <c r="B42" s="53"/>
      <c r="C42" s="53"/>
      <c r="D42" s="53" t="s">
        <v>135</v>
      </c>
      <c r="E42" s="53"/>
      <c r="F42" s="53"/>
      <c r="G42" s="53" t="s">
        <v>290</v>
      </c>
      <c r="H42" s="53" t="s">
        <v>291</v>
      </c>
      <c r="I42" s="85" t="s">
        <v>368</v>
      </c>
      <c r="J42" s="85" t="s">
        <v>758</v>
      </c>
      <c r="K42" s="85" t="s">
        <v>760</v>
      </c>
      <c r="L42" s="53" t="s">
        <v>216</v>
      </c>
      <c r="M42" s="53" t="s">
        <v>361</v>
      </c>
      <c r="N42" s="53"/>
      <c r="O42" s="85" t="s">
        <v>135</v>
      </c>
      <c r="P42" s="53">
        <v>1</v>
      </c>
      <c r="Q42" s="183">
        <v>3</v>
      </c>
      <c r="R42" s="84">
        <v>0.87050000000000005</v>
      </c>
      <c r="S42" s="53">
        <v>4.8</v>
      </c>
      <c r="T42" s="53"/>
      <c r="U42" s="53">
        <v>3</v>
      </c>
      <c r="V42" s="53">
        <v>480</v>
      </c>
      <c r="W42" s="53"/>
      <c r="X42" s="53"/>
      <c r="Y42" s="53"/>
      <c r="Z42" s="53"/>
      <c r="AA42" s="53"/>
      <c r="AB42" s="53"/>
      <c r="AC42" s="137" t="s">
        <v>124</v>
      </c>
      <c r="AD42" s="138" t="s">
        <v>118</v>
      </c>
      <c r="AE42" s="83">
        <v>8760</v>
      </c>
      <c r="AF42" s="139">
        <v>1</v>
      </c>
      <c r="AG42" s="139">
        <f t="shared" si="0"/>
        <v>0.82191780821917804</v>
      </c>
      <c r="AH42" s="139">
        <v>0.75</v>
      </c>
      <c r="AI42" s="139">
        <v>0.75</v>
      </c>
      <c r="AJ42" s="83">
        <f t="shared" si="1"/>
        <v>2880</v>
      </c>
      <c r="AK42" s="83">
        <f t="shared" si="2"/>
        <v>4320</v>
      </c>
      <c r="AL42" s="104">
        <f t="shared" si="3"/>
        <v>1.9282021826536473</v>
      </c>
      <c r="AM42" s="104">
        <f t="shared" si="4"/>
        <v>1.9282021826536473</v>
      </c>
      <c r="AN42" s="83">
        <f t="shared" si="5"/>
        <v>5553.2222860425045</v>
      </c>
      <c r="AO42" s="83">
        <f t="shared" si="6"/>
        <v>8329.8334290637558</v>
      </c>
      <c r="AP42" s="182">
        <f t="shared" si="7"/>
        <v>18.948371891097068</v>
      </c>
      <c r="AQ42" s="182">
        <f t="shared" si="8"/>
        <v>28.422557836645602</v>
      </c>
      <c r="AR42" s="85"/>
      <c r="AS42" s="85"/>
      <c r="AT42" s="53"/>
      <c r="AU42" s="53"/>
      <c r="AV42" s="53"/>
      <c r="AW42" s="53"/>
      <c r="AX42" s="53"/>
      <c r="AY42" s="53"/>
      <c r="AZ42" s="53"/>
      <c r="BA42" s="53"/>
      <c r="BB42" s="53"/>
      <c r="BC42" s="111">
        <f t="shared" si="9"/>
        <v>5553.2222860425045</v>
      </c>
      <c r="BD42" s="111">
        <f t="shared" si="10"/>
        <v>8329.8334290637558</v>
      </c>
    </row>
    <row r="43" spans="1:56" ht="21" customHeight="1" x14ac:dyDescent="0.25">
      <c r="A43" s="53">
        <v>33</v>
      </c>
      <c r="B43" s="53"/>
      <c r="C43" s="53"/>
      <c r="D43" s="53" t="s">
        <v>135</v>
      </c>
      <c r="E43" s="53"/>
      <c r="F43" s="53"/>
      <c r="G43" s="53" t="s">
        <v>290</v>
      </c>
      <c r="H43" s="53" t="s">
        <v>291</v>
      </c>
      <c r="I43" s="85" t="s">
        <v>368</v>
      </c>
      <c r="J43" s="85" t="s">
        <v>718</v>
      </c>
      <c r="K43" s="85" t="s">
        <v>745</v>
      </c>
      <c r="L43" s="53" t="s">
        <v>216</v>
      </c>
      <c r="M43" s="53" t="s">
        <v>295</v>
      </c>
      <c r="N43" s="53"/>
      <c r="O43" s="85" t="s">
        <v>135</v>
      </c>
      <c r="P43" s="53">
        <v>1</v>
      </c>
      <c r="Q43" s="183">
        <v>5</v>
      </c>
      <c r="R43" s="84">
        <v>0.87050000000000005</v>
      </c>
      <c r="S43" s="53">
        <v>7.6</v>
      </c>
      <c r="T43" s="53"/>
      <c r="U43" s="53">
        <v>3</v>
      </c>
      <c r="V43" s="53">
        <v>480</v>
      </c>
      <c r="W43" s="53"/>
      <c r="X43" s="53"/>
      <c r="Y43" s="53"/>
      <c r="Z43" s="53"/>
      <c r="AA43" s="53"/>
      <c r="AB43" s="53"/>
      <c r="AC43" s="137" t="s">
        <v>124</v>
      </c>
      <c r="AD43" s="138" t="s">
        <v>118</v>
      </c>
      <c r="AE43" s="83">
        <v>8760</v>
      </c>
      <c r="AF43" s="139">
        <v>1</v>
      </c>
      <c r="AG43" s="139">
        <f t="shared" ref="AG43:AG74" si="11">$AB$7</f>
        <v>0.82191780821917804</v>
      </c>
      <c r="AH43" s="139">
        <v>0.6</v>
      </c>
      <c r="AI43" s="139">
        <v>0.6</v>
      </c>
      <c r="AJ43" s="83">
        <f t="shared" si="1"/>
        <v>2880</v>
      </c>
      <c r="AK43" s="83">
        <f t="shared" si="2"/>
        <v>4320</v>
      </c>
      <c r="AL43" s="104">
        <f t="shared" si="3"/>
        <v>2.5709362435381959</v>
      </c>
      <c r="AM43" s="104">
        <f t="shared" si="4"/>
        <v>2.5709362435381959</v>
      </c>
      <c r="AN43" s="83">
        <f t="shared" si="5"/>
        <v>7404.2963813900042</v>
      </c>
      <c r="AO43" s="83">
        <f t="shared" si="6"/>
        <v>11106.444572085007</v>
      </c>
      <c r="AP43" s="182">
        <f t="shared" si="7"/>
        <v>25.264495854796088</v>
      </c>
      <c r="AQ43" s="182">
        <f t="shared" si="8"/>
        <v>37.896743782194136</v>
      </c>
      <c r="AR43" s="85"/>
      <c r="AS43" s="85"/>
      <c r="AT43" s="53"/>
      <c r="AU43" s="53"/>
      <c r="AV43" s="53"/>
      <c r="AW43" s="53"/>
      <c r="AX43" s="53"/>
      <c r="AY43" s="53"/>
      <c r="AZ43" s="53"/>
      <c r="BA43" s="53"/>
      <c r="BB43" s="53"/>
      <c r="BC43" s="111">
        <f t="shared" si="9"/>
        <v>7404.2963813900042</v>
      </c>
      <c r="BD43" s="111">
        <f t="shared" si="10"/>
        <v>11106.444572085007</v>
      </c>
    </row>
    <row r="44" spans="1:56" ht="21" customHeight="1" x14ac:dyDescent="0.25">
      <c r="A44" s="53">
        <v>34</v>
      </c>
      <c r="B44" s="53"/>
      <c r="C44" s="53"/>
      <c r="D44" s="53" t="s">
        <v>135</v>
      </c>
      <c r="E44" s="53"/>
      <c r="F44" s="53"/>
      <c r="G44" s="53" t="s">
        <v>290</v>
      </c>
      <c r="H44" s="53" t="s">
        <v>291</v>
      </c>
      <c r="I44" s="85" t="s">
        <v>368</v>
      </c>
      <c r="J44" s="85" t="s">
        <v>718</v>
      </c>
      <c r="K44" s="85" t="s">
        <v>746</v>
      </c>
      <c r="L44" s="53" t="s">
        <v>216</v>
      </c>
      <c r="M44" s="53" t="s">
        <v>295</v>
      </c>
      <c r="N44" s="53"/>
      <c r="O44" s="85" t="s">
        <v>135</v>
      </c>
      <c r="P44" s="53">
        <v>1</v>
      </c>
      <c r="Q44" s="183">
        <v>5</v>
      </c>
      <c r="R44" s="84">
        <v>0.87050000000000005</v>
      </c>
      <c r="S44" s="53">
        <v>7.6</v>
      </c>
      <c r="T44" s="53"/>
      <c r="U44" s="53">
        <v>3</v>
      </c>
      <c r="V44" s="53">
        <v>480</v>
      </c>
      <c r="W44" s="53"/>
      <c r="X44" s="53"/>
      <c r="Y44" s="53"/>
      <c r="Z44" s="53"/>
      <c r="AA44" s="53"/>
      <c r="AB44" s="53"/>
      <c r="AC44" s="137" t="s">
        <v>124</v>
      </c>
      <c r="AD44" s="138" t="s">
        <v>118</v>
      </c>
      <c r="AE44" s="83">
        <v>8760</v>
      </c>
      <c r="AF44" s="139">
        <v>1</v>
      </c>
      <c r="AG44" s="139">
        <f t="shared" si="11"/>
        <v>0.82191780821917804</v>
      </c>
      <c r="AH44" s="139">
        <v>0.6</v>
      </c>
      <c r="AI44" s="139">
        <v>0.6</v>
      </c>
      <c r="AJ44" s="83">
        <f t="shared" si="1"/>
        <v>2880</v>
      </c>
      <c r="AK44" s="83">
        <f t="shared" si="2"/>
        <v>4320</v>
      </c>
      <c r="AL44" s="104">
        <f t="shared" si="3"/>
        <v>2.5709362435381959</v>
      </c>
      <c r="AM44" s="104">
        <f t="shared" si="4"/>
        <v>2.5709362435381959</v>
      </c>
      <c r="AN44" s="83">
        <f t="shared" si="5"/>
        <v>7404.2963813900042</v>
      </c>
      <c r="AO44" s="83">
        <f t="shared" si="6"/>
        <v>11106.444572085007</v>
      </c>
      <c r="AP44" s="182">
        <f t="shared" si="7"/>
        <v>25.264495854796088</v>
      </c>
      <c r="AQ44" s="182">
        <f t="shared" si="8"/>
        <v>37.896743782194136</v>
      </c>
      <c r="AR44" s="85"/>
      <c r="AS44" s="85"/>
      <c r="AT44" s="53"/>
      <c r="AU44" s="53"/>
      <c r="AV44" s="53"/>
      <c r="AW44" s="53"/>
      <c r="AX44" s="53"/>
      <c r="AY44" s="53"/>
      <c r="AZ44" s="53"/>
      <c r="BA44" s="53"/>
      <c r="BB44" s="53"/>
      <c r="BC44" s="111">
        <f t="shared" si="9"/>
        <v>7404.2963813900042</v>
      </c>
      <c r="BD44" s="111">
        <f t="shared" si="10"/>
        <v>11106.444572085007</v>
      </c>
    </row>
    <row r="45" spans="1:56" ht="21" customHeight="1" x14ac:dyDescent="0.25">
      <c r="A45" s="53">
        <v>35</v>
      </c>
      <c r="B45" s="53"/>
      <c r="C45" s="53"/>
      <c r="D45" s="53" t="s">
        <v>135</v>
      </c>
      <c r="E45" s="53"/>
      <c r="F45" s="53"/>
      <c r="G45" s="53" t="s">
        <v>290</v>
      </c>
      <c r="H45" s="53" t="s">
        <v>291</v>
      </c>
      <c r="I45" s="85" t="s">
        <v>366</v>
      </c>
      <c r="J45" s="85" t="s">
        <v>718</v>
      </c>
      <c r="K45" s="85" t="s">
        <v>365</v>
      </c>
      <c r="L45" s="53" t="s">
        <v>216</v>
      </c>
      <c r="M45" s="53" t="s">
        <v>295</v>
      </c>
      <c r="N45" s="53"/>
      <c r="O45" s="85" t="s">
        <v>135</v>
      </c>
      <c r="P45" s="53">
        <v>1</v>
      </c>
      <c r="Q45" s="183">
        <v>5</v>
      </c>
      <c r="R45" s="84">
        <v>0.87050000000000005</v>
      </c>
      <c r="S45" s="53">
        <v>7.6</v>
      </c>
      <c r="T45" s="53"/>
      <c r="U45" s="53">
        <v>3</v>
      </c>
      <c r="V45" s="53">
        <v>480</v>
      </c>
      <c r="W45" s="53"/>
      <c r="X45" s="53"/>
      <c r="Y45" s="53"/>
      <c r="Z45" s="53"/>
      <c r="AA45" s="53"/>
      <c r="AB45" s="53"/>
      <c r="AC45" s="137" t="s">
        <v>124</v>
      </c>
      <c r="AD45" s="138" t="s">
        <v>118</v>
      </c>
      <c r="AE45" s="83">
        <v>8760</v>
      </c>
      <c r="AF45" s="139">
        <v>1</v>
      </c>
      <c r="AG45" s="139">
        <f t="shared" si="11"/>
        <v>0.82191780821917804</v>
      </c>
      <c r="AH45" s="139">
        <v>0.6</v>
      </c>
      <c r="AI45" s="139">
        <v>0.6</v>
      </c>
      <c r="AJ45" s="83">
        <f t="shared" si="1"/>
        <v>2880</v>
      </c>
      <c r="AK45" s="83">
        <f t="shared" si="2"/>
        <v>4320</v>
      </c>
      <c r="AL45" s="104">
        <f t="shared" si="3"/>
        <v>2.5709362435381959</v>
      </c>
      <c r="AM45" s="104">
        <f t="shared" si="4"/>
        <v>2.5709362435381959</v>
      </c>
      <c r="AN45" s="83">
        <f t="shared" si="5"/>
        <v>7404.2963813900042</v>
      </c>
      <c r="AO45" s="83">
        <f t="shared" si="6"/>
        <v>11106.444572085007</v>
      </c>
      <c r="AP45" s="182">
        <f t="shared" si="7"/>
        <v>25.264495854796088</v>
      </c>
      <c r="AQ45" s="182">
        <f t="shared" si="8"/>
        <v>37.896743782194136</v>
      </c>
      <c r="AR45" s="85"/>
      <c r="AS45" s="85"/>
      <c r="AT45" s="53"/>
      <c r="AU45" s="53"/>
      <c r="AV45" s="53"/>
      <c r="AW45" s="53"/>
      <c r="AX45" s="53"/>
      <c r="AY45" s="53"/>
      <c r="AZ45" s="53"/>
      <c r="BA45" s="53"/>
      <c r="BB45" s="53"/>
      <c r="BC45" s="111">
        <f t="shared" si="9"/>
        <v>7404.2963813900042</v>
      </c>
      <c r="BD45" s="111">
        <f t="shared" si="10"/>
        <v>11106.444572085007</v>
      </c>
    </row>
    <row r="46" spans="1:56" ht="21" customHeight="1" x14ac:dyDescent="0.25">
      <c r="A46" s="53">
        <v>36</v>
      </c>
      <c r="B46" s="53"/>
      <c r="C46" s="53"/>
      <c r="D46" s="53" t="s">
        <v>135</v>
      </c>
      <c r="E46" s="53"/>
      <c r="F46" s="53"/>
      <c r="G46" s="53" t="s">
        <v>290</v>
      </c>
      <c r="H46" s="53" t="s">
        <v>291</v>
      </c>
      <c r="I46" s="85" t="s">
        <v>366</v>
      </c>
      <c r="J46" s="85" t="s">
        <v>661</v>
      </c>
      <c r="K46" s="85" t="s">
        <v>294</v>
      </c>
      <c r="L46" s="53" t="s">
        <v>216</v>
      </c>
      <c r="M46" s="53" t="s">
        <v>295</v>
      </c>
      <c r="N46" s="53"/>
      <c r="O46" s="85" t="s">
        <v>135</v>
      </c>
      <c r="P46" s="53">
        <v>1</v>
      </c>
      <c r="Q46" s="183">
        <v>10</v>
      </c>
      <c r="R46" s="84">
        <v>0.87050000000000005</v>
      </c>
      <c r="S46" s="53">
        <v>14</v>
      </c>
      <c r="T46" s="53"/>
      <c r="U46" s="53">
        <v>3</v>
      </c>
      <c r="V46" s="53">
        <v>480</v>
      </c>
      <c r="W46" s="53"/>
      <c r="X46" s="53"/>
      <c r="Y46" s="53"/>
      <c r="Z46" s="53"/>
      <c r="AA46" s="53"/>
      <c r="AB46" s="53"/>
      <c r="AC46" s="137" t="s">
        <v>124</v>
      </c>
      <c r="AD46" s="138" t="s">
        <v>118</v>
      </c>
      <c r="AE46" s="83">
        <v>8760</v>
      </c>
      <c r="AF46" s="139">
        <v>1</v>
      </c>
      <c r="AG46" s="139">
        <f t="shared" si="11"/>
        <v>0.82191780821917804</v>
      </c>
      <c r="AH46" s="139">
        <v>0.6</v>
      </c>
      <c r="AI46" s="139">
        <v>0.6</v>
      </c>
      <c r="AJ46" s="83">
        <f t="shared" si="1"/>
        <v>2880</v>
      </c>
      <c r="AK46" s="83">
        <f t="shared" si="2"/>
        <v>4320</v>
      </c>
      <c r="AL46" s="104">
        <f t="shared" si="3"/>
        <v>5.1418724870763919</v>
      </c>
      <c r="AM46" s="104">
        <f t="shared" si="4"/>
        <v>5.1418724870763919</v>
      </c>
      <c r="AN46" s="83">
        <f t="shared" si="5"/>
        <v>14808.592762780008</v>
      </c>
      <c r="AO46" s="83">
        <f t="shared" si="6"/>
        <v>22212.889144170014</v>
      </c>
      <c r="AP46" s="182">
        <f t="shared" si="7"/>
        <v>50.528991709592177</v>
      </c>
      <c r="AQ46" s="182">
        <f t="shared" si="8"/>
        <v>75.793487564388272</v>
      </c>
      <c r="AR46" s="85"/>
      <c r="AS46" s="85"/>
      <c r="AT46" s="53"/>
      <c r="AU46" s="53"/>
      <c r="AV46" s="53"/>
      <c r="AW46" s="53"/>
      <c r="AX46" s="53"/>
      <c r="AY46" s="53"/>
      <c r="AZ46" s="53"/>
      <c r="BA46" s="53"/>
      <c r="BB46" s="53"/>
      <c r="BC46" s="111">
        <f t="shared" si="9"/>
        <v>14808.592762780008</v>
      </c>
      <c r="BD46" s="111">
        <f t="shared" si="10"/>
        <v>22212.889144170014</v>
      </c>
    </row>
    <row r="47" spans="1:56" ht="21" customHeight="1" x14ac:dyDescent="0.25">
      <c r="A47" s="53">
        <v>37</v>
      </c>
      <c r="B47" s="53"/>
      <c r="C47" s="53"/>
      <c r="D47" s="53" t="s">
        <v>135</v>
      </c>
      <c r="E47" s="53"/>
      <c r="F47" s="53"/>
      <c r="G47" s="53" t="s">
        <v>290</v>
      </c>
      <c r="H47" s="53" t="s">
        <v>291</v>
      </c>
      <c r="I47" s="85" t="s">
        <v>366</v>
      </c>
      <c r="J47" s="85" t="s">
        <v>661</v>
      </c>
      <c r="K47" s="85" t="s">
        <v>365</v>
      </c>
      <c r="L47" s="53" t="s">
        <v>216</v>
      </c>
      <c r="M47" s="53" t="s">
        <v>295</v>
      </c>
      <c r="N47" s="53"/>
      <c r="O47" s="85" t="s">
        <v>135</v>
      </c>
      <c r="P47" s="53">
        <v>1</v>
      </c>
      <c r="Q47" s="183">
        <v>5</v>
      </c>
      <c r="R47" s="84">
        <v>0.87050000000000005</v>
      </c>
      <c r="S47" s="53">
        <v>7.6</v>
      </c>
      <c r="T47" s="53"/>
      <c r="U47" s="53">
        <v>3</v>
      </c>
      <c r="V47" s="53">
        <v>480</v>
      </c>
      <c r="W47" s="53"/>
      <c r="X47" s="53"/>
      <c r="Y47" s="53"/>
      <c r="Z47" s="53"/>
      <c r="AA47" s="53"/>
      <c r="AB47" s="53"/>
      <c r="AC47" s="137" t="s">
        <v>124</v>
      </c>
      <c r="AD47" s="138" t="s">
        <v>118</v>
      </c>
      <c r="AE47" s="83">
        <v>8760</v>
      </c>
      <c r="AF47" s="139">
        <v>1</v>
      </c>
      <c r="AG47" s="139">
        <f t="shared" si="11"/>
        <v>0.82191780821917804</v>
      </c>
      <c r="AH47" s="139">
        <v>0.6</v>
      </c>
      <c r="AI47" s="139">
        <v>0.6</v>
      </c>
      <c r="AJ47" s="83">
        <f t="shared" si="1"/>
        <v>2880</v>
      </c>
      <c r="AK47" s="83">
        <f t="shared" si="2"/>
        <v>4320</v>
      </c>
      <c r="AL47" s="104">
        <f t="shared" si="3"/>
        <v>2.5709362435381959</v>
      </c>
      <c r="AM47" s="104">
        <f t="shared" si="4"/>
        <v>2.5709362435381959</v>
      </c>
      <c r="AN47" s="83">
        <f t="shared" si="5"/>
        <v>7404.2963813900042</v>
      </c>
      <c r="AO47" s="83">
        <f t="shared" si="6"/>
        <v>11106.444572085007</v>
      </c>
      <c r="AP47" s="182">
        <f t="shared" si="7"/>
        <v>25.264495854796088</v>
      </c>
      <c r="AQ47" s="182">
        <f t="shared" si="8"/>
        <v>37.896743782194136</v>
      </c>
      <c r="AR47" s="85"/>
      <c r="AS47" s="85"/>
      <c r="AT47" s="53"/>
      <c r="AU47" s="53"/>
      <c r="AV47" s="53"/>
      <c r="AW47" s="53"/>
      <c r="AX47" s="53"/>
      <c r="AY47" s="53"/>
      <c r="AZ47" s="53"/>
      <c r="BA47" s="53"/>
      <c r="BB47" s="53"/>
      <c r="BC47" s="111">
        <f t="shared" si="9"/>
        <v>7404.2963813900042</v>
      </c>
      <c r="BD47" s="111">
        <f t="shared" si="10"/>
        <v>11106.444572085007</v>
      </c>
    </row>
    <row r="48" spans="1:56" ht="21" customHeight="1" x14ac:dyDescent="0.25">
      <c r="A48" s="53">
        <v>38</v>
      </c>
      <c r="B48" s="53"/>
      <c r="C48" s="53"/>
      <c r="D48" s="53" t="s">
        <v>135</v>
      </c>
      <c r="E48" s="53"/>
      <c r="F48" s="53"/>
      <c r="G48" s="53" t="s">
        <v>290</v>
      </c>
      <c r="H48" s="53" t="s">
        <v>291</v>
      </c>
      <c r="I48" s="85" t="s">
        <v>366</v>
      </c>
      <c r="J48" s="85" t="s">
        <v>661</v>
      </c>
      <c r="K48" s="85" t="s">
        <v>742</v>
      </c>
      <c r="L48" s="53" t="s">
        <v>216</v>
      </c>
      <c r="M48" s="53" t="s">
        <v>295</v>
      </c>
      <c r="N48" s="53"/>
      <c r="O48" s="85" t="s">
        <v>135</v>
      </c>
      <c r="P48" s="53">
        <v>1</v>
      </c>
      <c r="Q48" s="183">
        <v>5</v>
      </c>
      <c r="R48" s="84">
        <v>0.87050000000000005</v>
      </c>
      <c r="S48" s="53">
        <v>7.6</v>
      </c>
      <c r="T48" s="53"/>
      <c r="U48" s="53">
        <v>3</v>
      </c>
      <c r="V48" s="53">
        <v>480</v>
      </c>
      <c r="W48" s="53"/>
      <c r="X48" s="53"/>
      <c r="Y48" s="53"/>
      <c r="Z48" s="53"/>
      <c r="AA48" s="53"/>
      <c r="AB48" s="53"/>
      <c r="AC48" s="137" t="s">
        <v>124</v>
      </c>
      <c r="AD48" s="138" t="s">
        <v>118</v>
      </c>
      <c r="AE48" s="83">
        <v>8760</v>
      </c>
      <c r="AF48" s="139">
        <v>1</v>
      </c>
      <c r="AG48" s="139">
        <f t="shared" si="11"/>
        <v>0.82191780821917804</v>
      </c>
      <c r="AH48" s="139">
        <v>0.6</v>
      </c>
      <c r="AI48" s="139">
        <v>0.6</v>
      </c>
      <c r="AJ48" s="83">
        <f t="shared" si="1"/>
        <v>2880</v>
      </c>
      <c r="AK48" s="83">
        <f t="shared" si="2"/>
        <v>4320</v>
      </c>
      <c r="AL48" s="104">
        <f t="shared" si="3"/>
        <v>2.5709362435381959</v>
      </c>
      <c r="AM48" s="104">
        <f t="shared" si="4"/>
        <v>2.5709362435381959</v>
      </c>
      <c r="AN48" s="83">
        <f t="shared" si="5"/>
        <v>7404.2963813900042</v>
      </c>
      <c r="AO48" s="83">
        <f t="shared" si="6"/>
        <v>11106.444572085007</v>
      </c>
      <c r="AP48" s="182">
        <f t="shared" si="7"/>
        <v>25.264495854796088</v>
      </c>
      <c r="AQ48" s="182">
        <f t="shared" si="8"/>
        <v>37.896743782194136</v>
      </c>
      <c r="AR48" s="85"/>
      <c r="AS48" s="85"/>
      <c r="AT48" s="53"/>
      <c r="AU48" s="53"/>
      <c r="AV48" s="53"/>
      <c r="AW48" s="53"/>
      <c r="AX48" s="53"/>
      <c r="AY48" s="53"/>
      <c r="AZ48" s="53"/>
      <c r="BA48" s="53"/>
      <c r="BB48" s="53"/>
      <c r="BC48" s="111">
        <f t="shared" si="9"/>
        <v>7404.2963813900042</v>
      </c>
      <c r="BD48" s="111">
        <f t="shared" si="10"/>
        <v>11106.444572085007</v>
      </c>
    </row>
    <row r="49" spans="1:56" ht="21" customHeight="1" x14ac:dyDescent="0.25">
      <c r="A49" s="53">
        <v>39</v>
      </c>
      <c r="B49" s="53"/>
      <c r="C49" s="53"/>
      <c r="D49" s="53" t="s">
        <v>135</v>
      </c>
      <c r="E49" s="53"/>
      <c r="F49" s="53"/>
      <c r="G49" s="53" t="s">
        <v>290</v>
      </c>
      <c r="H49" s="53" t="s">
        <v>291</v>
      </c>
      <c r="I49" s="85" t="s">
        <v>452</v>
      </c>
      <c r="J49" s="85" t="s">
        <v>457</v>
      </c>
      <c r="K49" s="85" t="s">
        <v>294</v>
      </c>
      <c r="L49" s="53" t="s">
        <v>216</v>
      </c>
      <c r="M49" s="53" t="s">
        <v>295</v>
      </c>
      <c r="N49" s="53"/>
      <c r="O49" s="85" t="s">
        <v>135</v>
      </c>
      <c r="P49" s="53">
        <v>1</v>
      </c>
      <c r="Q49" s="183">
        <v>40</v>
      </c>
      <c r="R49" s="84">
        <v>0.89250000000000007</v>
      </c>
      <c r="S49" s="53">
        <v>49</v>
      </c>
      <c r="T49" s="53"/>
      <c r="U49" s="53">
        <v>3</v>
      </c>
      <c r="V49" s="53">
        <v>480</v>
      </c>
      <c r="W49" s="53"/>
      <c r="X49" s="53"/>
      <c r="Y49" s="53"/>
      <c r="Z49" s="53"/>
      <c r="AA49" s="53"/>
      <c r="AB49" s="53"/>
      <c r="AC49" s="137" t="s">
        <v>124</v>
      </c>
      <c r="AD49" s="138" t="s">
        <v>118</v>
      </c>
      <c r="AE49" s="83">
        <v>8760</v>
      </c>
      <c r="AF49" s="139">
        <v>1</v>
      </c>
      <c r="AG49" s="139">
        <f t="shared" si="11"/>
        <v>0.82191780821917804</v>
      </c>
      <c r="AH49" s="139">
        <v>0.6</v>
      </c>
      <c r="AI49" s="139">
        <v>0.6</v>
      </c>
      <c r="AJ49" s="83">
        <f t="shared" si="1"/>
        <v>2880</v>
      </c>
      <c r="AK49" s="83">
        <f t="shared" si="2"/>
        <v>4320</v>
      </c>
      <c r="AL49" s="104">
        <f t="shared" si="3"/>
        <v>20.060504201680669</v>
      </c>
      <c r="AM49" s="104">
        <f t="shared" si="4"/>
        <v>20.060504201680669</v>
      </c>
      <c r="AN49" s="83">
        <f t="shared" si="5"/>
        <v>57774.252100840327</v>
      </c>
      <c r="AO49" s="83">
        <f t="shared" si="6"/>
        <v>86661.378151260491</v>
      </c>
      <c r="AP49" s="182">
        <f t="shared" si="7"/>
        <v>197.13383656336131</v>
      </c>
      <c r="AQ49" s="182">
        <f t="shared" si="8"/>
        <v>295.70075484504201</v>
      </c>
      <c r="AR49" s="85"/>
      <c r="AS49" s="85"/>
      <c r="AT49" s="53"/>
      <c r="AU49" s="53"/>
      <c r="AV49" s="53"/>
      <c r="AW49" s="53"/>
      <c r="AX49" s="53"/>
      <c r="AY49" s="53"/>
      <c r="AZ49" s="53"/>
      <c r="BA49" s="53"/>
      <c r="BB49" s="53"/>
      <c r="BC49" s="111">
        <f t="shared" si="9"/>
        <v>57774.252100840327</v>
      </c>
      <c r="BD49" s="111">
        <f t="shared" si="10"/>
        <v>86661.378151260491</v>
      </c>
    </row>
    <row r="50" spans="1:56" ht="21" customHeight="1" x14ac:dyDescent="0.25">
      <c r="A50" s="53">
        <v>40</v>
      </c>
      <c r="B50" s="53"/>
      <c r="C50" s="53"/>
      <c r="D50" s="53" t="s">
        <v>135</v>
      </c>
      <c r="E50" s="53"/>
      <c r="F50" s="53"/>
      <c r="G50" s="53" t="s">
        <v>290</v>
      </c>
      <c r="H50" s="53" t="s">
        <v>291</v>
      </c>
      <c r="I50" s="85" t="s">
        <v>452</v>
      </c>
      <c r="J50" s="85" t="s">
        <v>457</v>
      </c>
      <c r="K50" s="85" t="s">
        <v>365</v>
      </c>
      <c r="L50" s="53" t="s">
        <v>216</v>
      </c>
      <c r="M50" s="53" t="s">
        <v>295</v>
      </c>
      <c r="N50" s="53"/>
      <c r="O50" s="85" t="s">
        <v>135</v>
      </c>
      <c r="P50" s="53">
        <v>1</v>
      </c>
      <c r="Q50" s="183">
        <v>20</v>
      </c>
      <c r="R50" s="84">
        <v>0.89700000000000002</v>
      </c>
      <c r="S50" s="53">
        <v>27</v>
      </c>
      <c r="T50" s="53"/>
      <c r="U50" s="53">
        <v>3</v>
      </c>
      <c r="V50" s="53">
        <v>480</v>
      </c>
      <c r="W50" s="53"/>
      <c r="X50" s="53"/>
      <c r="Y50" s="53"/>
      <c r="Z50" s="53"/>
      <c r="AA50" s="53"/>
      <c r="AB50" s="53"/>
      <c r="AC50" s="137" t="s">
        <v>124</v>
      </c>
      <c r="AD50" s="138" t="s">
        <v>118</v>
      </c>
      <c r="AE50" s="83">
        <v>8760</v>
      </c>
      <c r="AF50" s="139">
        <v>1</v>
      </c>
      <c r="AG50" s="139">
        <f t="shared" si="11"/>
        <v>0.82191780821917804</v>
      </c>
      <c r="AH50" s="139">
        <v>0.6</v>
      </c>
      <c r="AI50" s="139">
        <v>0.6</v>
      </c>
      <c r="AJ50" s="83">
        <f t="shared" si="1"/>
        <v>2880</v>
      </c>
      <c r="AK50" s="83">
        <f t="shared" si="2"/>
        <v>4320</v>
      </c>
      <c r="AL50" s="104">
        <f t="shared" si="3"/>
        <v>9.9799331103678917</v>
      </c>
      <c r="AM50" s="104">
        <f t="shared" si="4"/>
        <v>9.9799331103678917</v>
      </c>
      <c r="AN50" s="83">
        <f t="shared" si="5"/>
        <v>28742.207357859526</v>
      </c>
      <c r="AO50" s="83">
        <f t="shared" si="6"/>
        <v>43113.311036789295</v>
      </c>
      <c r="AP50" s="182">
        <f t="shared" si="7"/>
        <v>98.072435414046794</v>
      </c>
      <c r="AQ50" s="182">
        <f t="shared" si="8"/>
        <v>147.1086531210702</v>
      </c>
      <c r="AR50" s="85"/>
      <c r="AS50" s="85"/>
      <c r="AT50" s="53"/>
      <c r="AU50" s="53"/>
      <c r="AV50" s="53"/>
      <c r="AW50" s="53"/>
      <c r="AX50" s="53"/>
      <c r="AY50" s="53"/>
      <c r="AZ50" s="53"/>
      <c r="BA50" s="53"/>
      <c r="BB50" s="53"/>
      <c r="BC50" s="111">
        <f t="shared" si="9"/>
        <v>28742.207357859526</v>
      </c>
      <c r="BD50" s="111">
        <f t="shared" si="10"/>
        <v>43113.311036789295</v>
      </c>
    </row>
    <row r="51" spans="1:56" ht="21" customHeight="1" x14ac:dyDescent="0.25">
      <c r="A51" s="53">
        <v>41</v>
      </c>
      <c r="B51" s="53"/>
      <c r="C51" s="53"/>
      <c r="D51" s="53" t="s">
        <v>135</v>
      </c>
      <c r="E51" s="53"/>
      <c r="F51" s="53"/>
      <c r="G51" s="53" t="s">
        <v>290</v>
      </c>
      <c r="H51" s="53" t="s">
        <v>291</v>
      </c>
      <c r="I51" s="85" t="s">
        <v>455</v>
      </c>
      <c r="J51" s="85" t="s">
        <v>458</v>
      </c>
      <c r="K51" s="85" t="s">
        <v>294</v>
      </c>
      <c r="L51" s="53" t="s">
        <v>216</v>
      </c>
      <c r="M51" s="53" t="s">
        <v>295</v>
      </c>
      <c r="N51" s="53"/>
      <c r="O51" s="85" t="s">
        <v>135</v>
      </c>
      <c r="P51" s="53">
        <v>1</v>
      </c>
      <c r="Q51" s="183">
        <v>40</v>
      </c>
      <c r="R51" s="84">
        <v>0.89250000000000007</v>
      </c>
      <c r="S51" s="53">
        <v>49</v>
      </c>
      <c r="T51" s="53"/>
      <c r="U51" s="53">
        <v>3</v>
      </c>
      <c r="V51" s="53">
        <v>480</v>
      </c>
      <c r="W51" s="53"/>
      <c r="X51" s="53"/>
      <c r="Y51" s="53"/>
      <c r="Z51" s="53"/>
      <c r="AA51" s="53"/>
      <c r="AB51" s="53"/>
      <c r="AC51" s="137" t="s">
        <v>124</v>
      </c>
      <c r="AD51" s="138" t="s">
        <v>118</v>
      </c>
      <c r="AE51" s="83">
        <v>8760</v>
      </c>
      <c r="AF51" s="139">
        <v>1</v>
      </c>
      <c r="AG51" s="139">
        <f t="shared" si="11"/>
        <v>0.82191780821917804</v>
      </c>
      <c r="AH51" s="139">
        <v>0.6</v>
      </c>
      <c r="AI51" s="139">
        <v>0.6</v>
      </c>
      <c r="AJ51" s="83">
        <f t="shared" si="1"/>
        <v>2880</v>
      </c>
      <c r="AK51" s="83">
        <f t="shared" si="2"/>
        <v>4320</v>
      </c>
      <c r="AL51" s="104">
        <f t="shared" si="3"/>
        <v>20.060504201680669</v>
      </c>
      <c r="AM51" s="104">
        <f t="shared" si="4"/>
        <v>20.060504201680669</v>
      </c>
      <c r="AN51" s="83">
        <f t="shared" si="5"/>
        <v>57774.252100840327</v>
      </c>
      <c r="AO51" s="83">
        <f t="shared" si="6"/>
        <v>86661.378151260491</v>
      </c>
      <c r="AP51" s="182">
        <f t="shared" si="7"/>
        <v>197.13383656336131</v>
      </c>
      <c r="AQ51" s="182">
        <f t="shared" si="8"/>
        <v>295.70075484504201</v>
      </c>
      <c r="AR51" s="85"/>
      <c r="AS51" s="85"/>
      <c r="AT51" s="53"/>
      <c r="AU51" s="53"/>
      <c r="AV51" s="53"/>
      <c r="AW51" s="53"/>
      <c r="AX51" s="53"/>
      <c r="AY51" s="53"/>
      <c r="AZ51" s="53"/>
      <c r="BA51" s="53"/>
      <c r="BB51" s="53"/>
      <c r="BC51" s="111">
        <f t="shared" si="9"/>
        <v>57774.252100840327</v>
      </c>
      <c r="BD51" s="111">
        <f t="shared" si="10"/>
        <v>86661.378151260491</v>
      </c>
    </row>
    <row r="52" spans="1:56" ht="15.75" x14ac:dyDescent="0.25">
      <c r="A52" s="53">
        <v>42</v>
      </c>
      <c r="B52" s="53"/>
      <c r="C52" s="53"/>
      <c r="D52" s="53" t="s">
        <v>135</v>
      </c>
      <c r="E52" s="53"/>
      <c r="F52" s="53"/>
      <c r="G52" s="53" t="s">
        <v>290</v>
      </c>
      <c r="H52" s="53" t="s">
        <v>291</v>
      </c>
      <c r="I52" s="85" t="s">
        <v>455</v>
      </c>
      <c r="J52" s="85" t="s">
        <v>458</v>
      </c>
      <c r="K52" s="85" t="s">
        <v>360</v>
      </c>
      <c r="L52" s="53" t="s">
        <v>216</v>
      </c>
      <c r="M52" s="53" t="s">
        <v>361</v>
      </c>
      <c r="N52" s="53"/>
      <c r="O52" s="85" t="s">
        <v>135</v>
      </c>
      <c r="P52" s="53">
        <v>1</v>
      </c>
      <c r="Q52" s="183">
        <v>3</v>
      </c>
      <c r="R52" s="84">
        <v>0.87050000000000005</v>
      </c>
      <c r="S52" s="53">
        <v>4.8</v>
      </c>
      <c r="T52" s="53"/>
      <c r="U52" s="53">
        <v>3</v>
      </c>
      <c r="V52" s="53">
        <v>480</v>
      </c>
      <c r="W52" s="53"/>
      <c r="X52" s="53"/>
      <c r="Y52" s="53"/>
      <c r="Z52" s="53"/>
      <c r="AA52" s="53"/>
      <c r="AB52" s="53"/>
      <c r="AC52" s="137" t="s">
        <v>124</v>
      </c>
      <c r="AD52" s="138" t="s">
        <v>118</v>
      </c>
      <c r="AE52" s="83">
        <v>8760</v>
      </c>
      <c r="AF52" s="139">
        <v>1</v>
      </c>
      <c r="AG52" s="139">
        <f t="shared" si="11"/>
        <v>0.82191780821917804</v>
      </c>
      <c r="AH52" s="139">
        <v>0.75</v>
      </c>
      <c r="AI52" s="139">
        <v>0.75</v>
      </c>
      <c r="AJ52" s="83">
        <f t="shared" si="1"/>
        <v>2880</v>
      </c>
      <c r="AK52" s="83">
        <f t="shared" si="2"/>
        <v>4320</v>
      </c>
      <c r="AL52" s="104">
        <f t="shared" si="3"/>
        <v>1.9282021826536473</v>
      </c>
      <c r="AM52" s="104">
        <f t="shared" si="4"/>
        <v>1.9282021826536473</v>
      </c>
      <c r="AN52" s="83">
        <f t="shared" si="5"/>
        <v>5553.2222860425045</v>
      </c>
      <c r="AO52" s="83">
        <f t="shared" si="6"/>
        <v>8329.8334290637558</v>
      </c>
      <c r="AP52" s="182">
        <f t="shared" si="7"/>
        <v>18.948371891097068</v>
      </c>
      <c r="AQ52" s="182">
        <f t="shared" si="8"/>
        <v>28.422557836645602</v>
      </c>
      <c r="AR52" s="85"/>
      <c r="AS52" s="85"/>
      <c r="AT52" s="53"/>
      <c r="AU52" s="53"/>
      <c r="AV52" s="53"/>
      <c r="AW52" s="53"/>
      <c r="AX52" s="53"/>
      <c r="AY52" s="53"/>
      <c r="AZ52" s="53"/>
      <c r="BA52" s="53"/>
      <c r="BB52" s="53"/>
      <c r="BC52" s="111">
        <f t="shared" si="9"/>
        <v>5553.2222860425045</v>
      </c>
      <c r="BD52" s="111">
        <f t="shared" si="10"/>
        <v>8329.8334290637558</v>
      </c>
    </row>
    <row r="53" spans="1:56" ht="15.75" x14ac:dyDescent="0.25">
      <c r="A53" s="53">
        <v>43</v>
      </c>
      <c r="B53" s="53"/>
      <c r="C53" s="53"/>
      <c r="D53" s="53" t="s">
        <v>135</v>
      </c>
      <c r="E53" s="53"/>
      <c r="F53" s="53"/>
      <c r="G53" s="53" t="s">
        <v>290</v>
      </c>
      <c r="H53" s="53" t="s">
        <v>291</v>
      </c>
      <c r="I53" s="85" t="s">
        <v>455</v>
      </c>
      <c r="J53" s="85" t="s">
        <v>458</v>
      </c>
      <c r="K53" s="85" t="s">
        <v>530</v>
      </c>
      <c r="L53" s="53" t="s">
        <v>216</v>
      </c>
      <c r="M53" s="53" t="s">
        <v>295</v>
      </c>
      <c r="N53" s="53"/>
      <c r="O53" s="85" t="s">
        <v>135</v>
      </c>
      <c r="P53" s="53">
        <v>1</v>
      </c>
      <c r="Q53" s="183">
        <v>20</v>
      </c>
      <c r="R53" s="84">
        <v>0.89700000000000002</v>
      </c>
      <c r="S53" s="53">
        <v>27</v>
      </c>
      <c r="T53" s="53"/>
      <c r="U53" s="53">
        <v>3</v>
      </c>
      <c r="V53" s="53">
        <v>480</v>
      </c>
      <c r="W53" s="53"/>
      <c r="X53" s="53"/>
      <c r="Y53" s="53"/>
      <c r="Z53" s="53"/>
      <c r="AA53" s="53"/>
      <c r="AB53" s="53"/>
      <c r="AC53" s="137" t="s">
        <v>124</v>
      </c>
      <c r="AD53" s="138" t="s">
        <v>118</v>
      </c>
      <c r="AE53" s="83">
        <v>8760</v>
      </c>
      <c r="AF53" s="139">
        <v>1</v>
      </c>
      <c r="AG53" s="139">
        <f t="shared" si="11"/>
        <v>0.82191780821917804</v>
      </c>
      <c r="AH53" s="139">
        <v>0.6</v>
      </c>
      <c r="AI53" s="139">
        <v>0.6</v>
      </c>
      <c r="AJ53" s="83">
        <f t="shared" si="1"/>
        <v>2880</v>
      </c>
      <c r="AK53" s="83">
        <f t="shared" si="2"/>
        <v>4320</v>
      </c>
      <c r="AL53" s="104">
        <f t="shared" si="3"/>
        <v>9.9799331103678917</v>
      </c>
      <c r="AM53" s="104">
        <f t="shared" si="4"/>
        <v>9.9799331103678917</v>
      </c>
      <c r="AN53" s="83">
        <f t="shared" si="5"/>
        <v>28742.207357859526</v>
      </c>
      <c r="AO53" s="83">
        <f t="shared" si="6"/>
        <v>43113.311036789295</v>
      </c>
      <c r="AP53" s="182">
        <f t="shared" si="7"/>
        <v>98.072435414046794</v>
      </c>
      <c r="AQ53" s="182">
        <f t="shared" si="8"/>
        <v>147.1086531210702</v>
      </c>
      <c r="AR53" s="85"/>
      <c r="AS53" s="85"/>
      <c r="AT53" s="53"/>
      <c r="AU53" s="53"/>
      <c r="AV53" s="53"/>
      <c r="AW53" s="53"/>
      <c r="AX53" s="53"/>
      <c r="AY53" s="53"/>
      <c r="AZ53" s="53"/>
      <c r="BA53" s="53"/>
      <c r="BB53" s="53"/>
      <c r="BC53" s="111">
        <f t="shared" si="9"/>
        <v>28742.207357859526</v>
      </c>
      <c r="BD53" s="111">
        <f t="shared" si="10"/>
        <v>43113.311036789295</v>
      </c>
    </row>
    <row r="54" spans="1:56" ht="15.75" x14ac:dyDescent="0.25">
      <c r="A54" s="53">
        <v>44</v>
      </c>
      <c r="B54" s="53"/>
      <c r="C54" s="53"/>
      <c r="D54" s="53" t="s">
        <v>135</v>
      </c>
      <c r="E54" s="53"/>
      <c r="F54" s="53"/>
      <c r="G54" s="53" t="s">
        <v>290</v>
      </c>
      <c r="H54" s="53" t="s">
        <v>291</v>
      </c>
      <c r="I54" s="85" t="s">
        <v>455</v>
      </c>
      <c r="J54" s="85" t="s">
        <v>458</v>
      </c>
      <c r="K54" s="85" t="s">
        <v>507</v>
      </c>
      <c r="L54" s="53" t="s">
        <v>216</v>
      </c>
      <c r="M54" s="53" t="s">
        <v>295</v>
      </c>
      <c r="N54" s="53"/>
      <c r="O54" s="85" t="s">
        <v>135</v>
      </c>
      <c r="P54" s="53">
        <v>1</v>
      </c>
      <c r="Q54" s="183">
        <v>20</v>
      </c>
      <c r="R54" s="84">
        <v>0.89700000000000002</v>
      </c>
      <c r="S54" s="53">
        <v>27</v>
      </c>
      <c r="T54" s="53"/>
      <c r="U54" s="53">
        <v>3</v>
      </c>
      <c r="V54" s="53">
        <v>480</v>
      </c>
      <c r="W54" s="53"/>
      <c r="X54" s="53"/>
      <c r="Y54" s="53"/>
      <c r="Z54" s="53"/>
      <c r="AA54" s="53"/>
      <c r="AB54" s="53"/>
      <c r="AC54" s="137" t="s">
        <v>124</v>
      </c>
      <c r="AD54" s="138" t="s">
        <v>118</v>
      </c>
      <c r="AE54" s="83">
        <v>8760</v>
      </c>
      <c r="AF54" s="139">
        <v>1</v>
      </c>
      <c r="AG54" s="139">
        <f t="shared" si="11"/>
        <v>0.82191780821917804</v>
      </c>
      <c r="AH54" s="139">
        <v>0.6</v>
      </c>
      <c r="AI54" s="139">
        <v>0.6</v>
      </c>
      <c r="AJ54" s="83">
        <f t="shared" si="1"/>
        <v>2880</v>
      </c>
      <c r="AK54" s="83">
        <f t="shared" si="2"/>
        <v>4320</v>
      </c>
      <c r="AL54" s="104">
        <f t="shared" si="3"/>
        <v>9.9799331103678917</v>
      </c>
      <c r="AM54" s="104">
        <f t="shared" si="4"/>
        <v>9.9799331103678917</v>
      </c>
      <c r="AN54" s="83">
        <f t="shared" si="5"/>
        <v>28742.207357859526</v>
      </c>
      <c r="AO54" s="83">
        <f t="shared" si="6"/>
        <v>43113.311036789295</v>
      </c>
      <c r="AP54" s="182">
        <f t="shared" si="7"/>
        <v>98.072435414046794</v>
      </c>
      <c r="AQ54" s="182">
        <f t="shared" si="8"/>
        <v>147.1086531210702</v>
      </c>
      <c r="AR54" s="85"/>
      <c r="AS54" s="85"/>
      <c r="AT54" s="53"/>
      <c r="AU54" s="53"/>
      <c r="AV54" s="53"/>
      <c r="AW54" s="53"/>
      <c r="AX54" s="53"/>
      <c r="AY54" s="53"/>
      <c r="AZ54" s="53"/>
      <c r="BA54" s="53"/>
      <c r="BB54" s="53"/>
      <c r="BC54" s="111">
        <f t="shared" si="9"/>
        <v>28742.207357859526</v>
      </c>
      <c r="BD54" s="111">
        <f t="shared" si="10"/>
        <v>43113.311036789295</v>
      </c>
    </row>
    <row r="55" spans="1:56" ht="15.75" x14ac:dyDescent="0.25">
      <c r="A55" s="53">
        <v>45</v>
      </c>
      <c r="B55" s="53"/>
      <c r="C55" s="53"/>
      <c r="D55" s="53" t="s">
        <v>135</v>
      </c>
      <c r="E55" s="53"/>
      <c r="F55" s="53"/>
      <c r="G55" s="53" t="s">
        <v>290</v>
      </c>
      <c r="H55" s="53" t="s">
        <v>291</v>
      </c>
      <c r="I55" s="85" t="s">
        <v>366</v>
      </c>
      <c r="J55" s="85" t="s">
        <v>367</v>
      </c>
      <c r="K55" s="85" t="s">
        <v>294</v>
      </c>
      <c r="L55" s="53" t="s">
        <v>216</v>
      </c>
      <c r="M55" s="53" t="s">
        <v>295</v>
      </c>
      <c r="N55" s="53"/>
      <c r="O55" s="85" t="s">
        <v>135</v>
      </c>
      <c r="P55" s="53">
        <v>1</v>
      </c>
      <c r="Q55" s="183">
        <v>60</v>
      </c>
      <c r="R55" s="84">
        <v>0.91300000000000003</v>
      </c>
      <c r="S55" s="53">
        <v>72</v>
      </c>
      <c r="T55" s="53"/>
      <c r="U55" s="53">
        <v>3</v>
      </c>
      <c r="V55" s="53">
        <v>480</v>
      </c>
      <c r="W55" s="53"/>
      <c r="X55" s="53"/>
      <c r="Y55" s="53"/>
      <c r="Z55" s="53"/>
      <c r="AA55" s="53"/>
      <c r="AB55" s="53"/>
      <c r="AC55" s="137" t="s">
        <v>124</v>
      </c>
      <c r="AD55" s="138" t="s">
        <v>118</v>
      </c>
      <c r="AE55" s="83">
        <v>8760</v>
      </c>
      <c r="AF55" s="139">
        <v>1</v>
      </c>
      <c r="AG55" s="139">
        <f t="shared" si="11"/>
        <v>0.82191780821917804</v>
      </c>
      <c r="AH55" s="139">
        <v>0.6</v>
      </c>
      <c r="AI55" s="139">
        <v>0.6</v>
      </c>
      <c r="AJ55" s="83">
        <f t="shared" si="1"/>
        <v>2880</v>
      </c>
      <c r="AK55" s="83">
        <f t="shared" si="2"/>
        <v>4320</v>
      </c>
      <c r="AL55" s="104">
        <f t="shared" si="3"/>
        <v>29.415115005476448</v>
      </c>
      <c r="AM55" s="104">
        <f t="shared" si="4"/>
        <v>29.415115005476448</v>
      </c>
      <c r="AN55" s="83">
        <f t="shared" si="5"/>
        <v>84715.531215772164</v>
      </c>
      <c r="AO55" s="83">
        <f t="shared" si="6"/>
        <v>127073.29682365825</v>
      </c>
      <c r="AP55" s="182">
        <f t="shared" si="7"/>
        <v>289.06125268258484</v>
      </c>
      <c r="AQ55" s="182">
        <f t="shared" si="8"/>
        <v>433.59187902387725</v>
      </c>
      <c r="AR55" s="85"/>
      <c r="AS55" s="85"/>
      <c r="AT55" s="53"/>
      <c r="AU55" s="53"/>
      <c r="AV55" s="53"/>
      <c r="AW55" s="53"/>
      <c r="AX55" s="53"/>
      <c r="AY55" s="53"/>
      <c r="AZ55" s="53"/>
      <c r="BA55" s="53"/>
      <c r="BB55" s="53"/>
      <c r="BC55" s="111">
        <f t="shared" si="9"/>
        <v>84715.531215772164</v>
      </c>
      <c r="BD55" s="111">
        <f t="shared" si="10"/>
        <v>127073.29682365825</v>
      </c>
    </row>
    <row r="56" spans="1:56" ht="15.75" x14ac:dyDescent="0.25">
      <c r="A56" s="53">
        <v>46</v>
      </c>
      <c r="B56" s="53"/>
      <c r="C56" s="53"/>
      <c r="D56" s="53" t="s">
        <v>135</v>
      </c>
      <c r="E56" s="53"/>
      <c r="F56" s="53"/>
      <c r="G56" s="53" t="s">
        <v>290</v>
      </c>
      <c r="H56" s="53" t="s">
        <v>291</v>
      </c>
      <c r="I56" s="85" t="s">
        <v>366</v>
      </c>
      <c r="J56" s="85" t="s">
        <v>759</v>
      </c>
      <c r="K56" s="85" t="s">
        <v>762</v>
      </c>
      <c r="L56" s="53" t="s">
        <v>216</v>
      </c>
      <c r="M56" s="53" t="s">
        <v>361</v>
      </c>
      <c r="N56" s="53"/>
      <c r="O56" s="85" t="s">
        <v>135</v>
      </c>
      <c r="P56" s="53">
        <v>1</v>
      </c>
      <c r="Q56" s="183">
        <v>3</v>
      </c>
      <c r="R56" s="84">
        <v>0.87050000000000005</v>
      </c>
      <c r="S56" s="53">
        <v>4.8</v>
      </c>
      <c r="T56" s="53"/>
      <c r="U56" s="53">
        <v>3</v>
      </c>
      <c r="V56" s="53">
        <v>480</v>
      </c>
      <c r="W56" s="53"/>
      <c r="X56" s="53"/>
      <c r="Y56" s="53"/>
      <c r="Z56" s="53"/>
      <c r="AA56" s="53"/>
      <c r="AB56" s="53"/>
      <c r="AC56" s="137" t="s">
        <v>124</v>
      </c>
      <c r="AD56" s="138" t="s">
        <v>118</v>
      </c>
      <c r="AE56" s="83">
        <v>8760</v>
      </c>
      <c r="AF56" s="139">
        <v>1</v>
      </c>
      <c r="AG56" s="139">
        <f t="shared" si="11"/>
        <v>0.82191780821917804</v>
      </c>
      <c r="AH56" s="139">
        <v>0.75</v>
      </c>
      <c r="AI56" s="139">
        <v>0.75</v>
      </c>
      <c r="AJ56" s="83">
        <f t="shared" si="1"/>
        <v>2880</v>
      </c>
      <c r="AK56" s="83">
        <f t="shared" si="2"/>
        <v>4320</v>
      </c>
      <c r="AL56" s="104">
        <f t="shared" si="3"/>
        <v>1.9282021826536473</v>
      </c>
      <c r="AM56" s="104">
        <f t="shared" si="4"/>
        <v>1.9282021826536473</v>
      </c>
      <c r="AN56" s="83">
        <f t="shared" si="5"/>
        <v>5553.2222860425045</v>
      </c>
      <c r="AO56" s="83">
        <f t="shared" si="6"/>
        <v>8329.8334290637558</v>
      </c>
      <c r="AP56" s="182">
        <f t="shared" si="7"/>
        <v>18.948371891097068</v>
      </c>
      <c r="AQ56" s="182">
        <f t="shared" si="8"/>
        <v>28.422557836645602</v>
      </c>
      <c r="AR56" s="85"/>
      <c r="AS56" s="85"/>
      <c r="AT56" s="53"/>
      <c r="AU56" s="53"/>
      <c r="AV56" s="53"/>
      <c r="AW56" s="53"/>
      <c r="AX56" s="53"/>
      <c r="AY56" s="53"/>
      <c r="AZ56" s="53"/>
      <c r="BA56" s="53"/>
      <c r="BB56" s="53"/>
      <c r="BC56" s="111">
        <f t="shared" si="9"/>
        <v>5553.2222860425045</v>
      </c>
      <c r="BD56" s="111">
        <f t="shared" si="10"/>
        <v>8329.8334290637558</v>
      </c>
    </row>
    <row r="57" spans="1:56" ht="21" customHeight="1" x14ac:dyDescent="0.25">
      <c r="A57" s="53">
        <v>47</v>
      </c>
      <c r="B57" s="53"/>
      <c r="C57" s="53"/>
      <c r="D57" s="53" t="s">
        <v>135</v>
      </c>
      <c r="E57" s="53"/>
      <c r="F57" s="53"/>
      <c r="G57" s="53" t="s">
        <v>290</v>
      </c>
      <c r="H57" s="53" t="s">
        <v>291</v>
      </c>
      <c r="I57" s="85" t="s">
        <v>366</v>
      </c>
      <c r="J57" s="85" t="s">
        <v>367</v>
      </c>
      <c r="K57" s="85" t="s">
        <v>294</v>
      </c>
      <c r="L57" s="53" t="s">
        <v>216</v>
      </c>
      <c r="M57" s="53" t="s">
        <v>295</v>
      </c>
      <c r="N57" s="53"/>
      <c r="O57" s="85" t="s">
        <v>135</v>
      </c>
      <c r="P57" s="53">
        <v>1</v>
      </c>
      <c r="Q57" s="183">
        <v>60</v>
      </c>
      <c r="R57" s="84">
        <v>0.91300000000000003</v>
      </c>
      <c r="S57" s="53">
        <v>72</v>
      </c>
      <c r="T57" s="53"/>
      <c r="U57" s="53">
        <v>3</v>
      </c>
      <c r="V57" s="53">
        <v>480</v>
      </c>
      <c r="W57" s="53"/>
      <c r="X57" s="53"/>
      <c r="Y57" s="53"/>
      <c r="Z57" s="53"/>
      <c r="AA57" s="53"/>
      <c r="AB57" s="53"/>
      <c r="AC57" s="137" t="s">
        <v>124</v>
      </c>
      <c r="AD57" s="138" t="s">
        <v>118</v>
      </c>
      <c r="AE57" s="83">
        <v>8760</v>
      </c>
      <c r="AF57" s="139">
        <v>1</v>
      </c>
      <c r="AG57" s="139">
        <f t="shared" si="11"/>
        <v>0.82191780821917804</v>
      </c>
      <c r="AH57" s="139">
        <v>0.6</v>
      </c>
      <c r="AI57" s="139">
        <v>0.6</v>
      </c>
      <c r="AJ57" s="83">
        <f t="shared" si="1"/>
        <v>2880</v>
      </c>
      <c r="AK57" s="83">
        <f t="shared" si="2"/>
        <v>4320</v>
      </c>
      <c r="AL57" s="104">
        <f t="shared" si="3"/>
        <v>29.415115005476448</v>
      </c>
      <c r="AM57" s="104">
        <f t="shared" si="4"/>
        <v>29.415115005476448</v>
      </c>
      <c r="AN57" s="83">
        <f t="shared" si="5"/>
        <v>84715.531215772164</v>
      </c>
      <c r="AO57" s="83">
        <f t="shared" si="6"/>
        <v>127073.29682365825</v>
      </c>
      <c r="AP57" s="182">
        <f t="shared" si="7"/>
        <v>289.06125268258484</v>
      </c>
      <c r="AQ57" s="182">
        <f t="shared" si="8"/>
        <v>433.59187902387725</v>
      </c>
      <c r="AR57" s="85"/>
      <c r="AS57" s="85"/>
      <c r="AT57" s="53"/>
      <c r="AU57" s="53"/>
      <c r="AV57" s="53"/>
      <c r="AW57" s="53"/>
      <c r="AX57" s="53"/>
      <c r="AY57" s="53"/>
      <c r="AZ57" s="53"/>
      <c r="BA57" s="53"/>
      <c r="BB57" s="53"/>
      <c r="BC57" s="111">
        <f t="shared" si="9"/>
        <v>84715.531215772164</v>
      </c>
      <c r="BD57" s="111">
        <f t="shared" si="10"/>
        <v>127073.29682365825</v>
      </c>
    </row>
    <row r="58" spans="1:56" ht="15.75" x14ac:dyDescent="0.25">
      <c r="A58" s="53">
        <v>48</v>
      </c>
      <c r="B58" s="53"/>
      <c r="C58" s="53"/>
      <c r="D58" s="53" t="s">
        <v>135</v>
      </c>
      <c r="E58" s="53"/>
      <c r="F58" s="53"/>
      <c r="G58" s="53" t="s">
        <v>290</v>
      </c>
      <c r="H58" s="53" t="s">
        <v>291</v>
      </c>
      <c r="I58" s="85" t="s">
        <v>366</v>
      </c>
      <c r="J58" s="85" t="s">
        <v>759</v>
      </c>
      <c r="K58" s="85" t="s">
        <v>757</v>
      </c>
      <c r="L58" s="53" t="s">
        <v>216</v>
      </c>
      <c r="M58" s="53" t="s">
        <v>361</v>
      </c>
      <c r="N58" s="53"/>
      <c r="O58" s="85" t="s">
        <v>135</v>
      </c>
      <c r="P58" s="53">
        <v>1</v>
      </c>
      <c r="Q58" s="183">
        <v>3</v>
      </c>
      <c r="R58" s="84">
        <v>0.87050000000000005</v>
      </c>
      <c r="S58" s="53">
        <v>4.8</v>
      </c>
      <c r="T58" s="53"/>
      <c r="U58" s="53">
        <v>3</v>
      </c>
      <c r="V58" s="53">
        <v>480</v>
      </c>
      <c r="W58" s="53"/>
      <c r="X58" s="53"/>
      <c r="Y58" s="53"/>
      <c r="Z58" s="53"/>
      <c r="AA58" s="53"/>
      <c r="AB58" s="53"/>
      <c r="AC58" s="137" t="s">
        <v>124</v>
      </c>
      <c r="AD58" s="138" t="s">
        <v>118</v>
      </c>
      <c r="AE58" s="83">
        <v>8760</v>
      </c>
      <c r="AF58" s="139">
        <v>1</v>
      </c>
      <c r="AG58" s="139">
        <f t="shared" si="11"/>
        <v>0.82191780821917804</v>
      </c>
      <c r="AH58" s="139">
        <v>0.75</v>
      </c>
      <c r="AI58" s="139">
        <v>0.75</v>
      </c>
      <c r="AJ58" s="83">
        <f t="shared" si="1"/>
        <v>2880</v>
      </c>
      <c r="AK58" s="83">
        <f t="shared" si="2"/>
        <v>4320</v>
      </c>
      <c r="AL58" s="104">
        <f t="shared" si="3"/>
        <v>1.9282021826536473</v>
      </c>
      <c r="AM58" s="104">
        <f t="shared" si="4"/>
        <v>1.9282021826536473</v>
      </c>
      <c r="AN58" s="83">
        <f t="shared" si="5"/>
        <v>5553.2222860425045</v>
      </c>
      <c r="AO58" s="83">
        <f t="shared" si="6"/>
        <v>8329.8334290637558</v>
      </c>
      <c r="AP58" s="182">
        <f t="shared" si="7"/>
        <v>18.948371891097068</v>
      </c>
      <c r="AQ58" s="182">
        <f t="shared" si="8"/>
        <v>28.422557836645602</v>
      </c>
      <c r="AR58" s="85"/>
      <c r="AS58" s="85"/>
      <c r="AT58" s="53"/>
      <c r="AU58" s="53"/>
      <c r="AV58" s="53"/>
      <c r="AW58" s="53"/>
      <c r="AX58" s="53"/>
      <c r="AY58" s="53"/>
      <c r="AZ58" s="53"/>
      <c r="BA58" s="53"/>
      <c r="BB58" s="53"/>
      <c r="BC58" s="111">
        <f t="shared" si="9"/>
        <v>5553.2222860425045</v>
      </c>
      <c r="BD58" s="111">
        <f t="shared" si="10"/>
        <v>8329.8334290637558</v>
      </c>
    </row>
    <row r="59" spans="1:56" ht="15.75" x14ac:dyDescent="0.25">
      <c r="A59" s="53">
        <v>49</v>
      </c>
      <c r="B59" s="53"/>
      <c r="C59" s="53"/>
      <c r="D59" s="53" t="s">
        <v>135</v>
      </c>
      <c r="E59" s="53"/>
      <c r="F59" s="53"/>
      <c r="G59" s="53" t="s">
        <v>290</v>
      </c>
      <c r="H59" s="53" t="s">
        <v>291</v>
      </c>
      <c r="I59" s="85" t="s">
        <v>366</v>
      </c>
      <c r="J59" s="85" t="s">
        <v>510</v>
      </c>
      <c r="K59" s="85" t="s">
        <v>530</v>
      </c>
      <c r="L59" s="53" t="s">
        <v>216</v>
      </c>
      <c r="M59" s="53" t="s">
        <v>295</v>
      </c>
      <c r="N59" s="53"/>
      <c r="O59" s="85" t="s">
        <v>531</v>
      </c>
      <c r="P59" s="53">
        <v>1</v>
      </c>
      <c r="Q59" s="183">
        <v>20</v>
      </c>
      <c r="R59" s="84">
        <v>0.89700000000000002</v>
      </c>
      <c r="S59" s="53">
        <v>27</v>
      </c>
      <c r="T59" s="53"/>
      <c r="U59" s="53">
        <v>3</v>
      </c>
      <c r="V59" s="53">
        <v>480</v>
      </c>
      <c r="W59" s="53"/>
      <c r="X59" s="53"/>
      <c r="Y59" s="53"/>
      <c r="Z59" s="53"/>
      <c r="AA59" s="53"/>
      <c r="AB59" s="53"/>
      <c r="AC59" s="137" t="s">
        <v>124</v>
      </c>
      <c r="AD59" s="138" t="s">
        <v>118</v>
      </c>
      <c r="AE59" s="83">
        <v>8760</v>
      </c>
      <c r="AF59" s="139">
        <v>1</v>
      </c>
      <c r="AG59" s="139">
        <f t="shared" si="11"/>
        <v>0.82191780821917804</v>
      </c>
      <c r="AH59" s="139">
        <v>0.6</v>
      </c>
      <c r="AI59" s="139">
        <v>0.6</v>
      </c>
      <c r="AJ59" s="83">
        <f t="shared" si="1"/>
        <v>2880</v>
      </c>
      <c r="AK59" s="83">
        <f t="shared" si="2"/>
        <v>4320</v>
      </c>
      <c r="AL59" s="104">
        <f t="shared" si="3"/>
        <v>9.9799331103678917</v>
      </c>
      <c r="AM59" s="104">
        <f t="shared" si="4"/>
        <v>9.9799331103678917</v>
      </c>
      <c r="AN59" s="83">
        <f t="shared" si="5"/>
        <v>28742.207357859526</v>
      </c>
      <c r="AO59" s="83">
        <f t="shared" si="6"/>
        <v>43113.311036789295</v>
      </c>
      <c r="AP59" s="182">
        <f t="shared" si="7"/>
        <v>98.072435414046794</v>
      </c>
      <c r="AQ59" s="182">
        <f t="shared" si="8"/>
        <v>147.1086531210702</v>
      </c>
      <c r="AR59" s="85"/>
      <c r="AS59" s="85"/>
      <c r="AT59" s="53"/>
      <c r="AU59" s="53"/>
      <c r="AV59" s="53"/>
      <c r="AW59" s="53"/>
      <c r="AX59" s="53"/>
      <c r="AY59" s="53"/>
      <c r="AZ59" s="53"/>
      <c r="BA59" s="53"/>
      <c r="BB59" s="53"/>
      <c r="BC59" s="111">
        <f t="shared" si="9"/>
        <v>28742.207357859526</v>
      </c>
      <c r="BD59" s="111">
        <f t="shared" si="10"/>
        <v>43113.311036789295</v>
      </c>
    </row>
    <row r="60" spans="1:56" ht="15.75" x14ac:dyDescent="0.25">
      <c r="A60" s="53">
        <v>50</v>
      </c>
      <c r="B60" s="53"/>
      <c r="C60" s="53"/>
      <c r="D60" s="53" t="s">
        <v>135</v>
      </c>
      <c r="E60" s="53"/>
      <c r="F60" s="53"/>
      <c r="G60" s="53" t="s">
        <v>290</v>
      </c>
      <c r="H60" s="53" t="s">
        <v>291</v>
      </c>
      <c r="I60" s="85" t="s">
        <v>366</v>
      </c>
      <c r="J60" s="85" t="s">
        <v>510</v>
      </c>
      <c r="K60" s="85" t="s">
        <v>507</v>
      </c>
      <c r="L60" s="53" t="s">
        <v>216</v>
      </c>
      <c r="M60" s="53" t="s">
        <v>295</v>
      </c>
      <c r="N60" s="53"/>
      <c r="O60" s="85" t="s">
        <v>511</v>
      </c>
      <c r="P60" s="53">
        <v>1</v>
      </c>
      <c r="Q60" s="183">
        <v>20</v>
      </c>
      <c r="R60" s="84">
        <v>0.89700000000000002</v>
      </c>
      <c r="S60" s="53">
        <v>27</v>
      </c>
      <c r="T60" s="53"/>
      <c r="U60" s="53">
        <v>3</v>
      </c>
      <c r="V60" s="53">
        <v>480</v>
      </c>
      <c r="W60" s="53"/>
      <c r="X60" s="53"/>
      <c r="Y60" s="53"/>
      <c r="Z60" s="53"/>
      <c r="AA60" s="53"/>
      <c r="AB60" s="53"/>
      <c r="AC60" s="137" t="s">
        <v>124</v>
      </c>
      <c r="AD60" s="138" t="s">
        <v>118</v>
      </c>
      <c r="AE60" s="83">
        <v>8760</v>
      </c>
      <c r="AF60" s="139">
        <v>1</v>
      </c>
      <c r="AG60" s="139">
        <f t="shared" si="11"/>
        <v>0.82191780821917804</v>
      </c>
      <c r="AH60" s="139">
        <v>0.6</v>
      </c>
      <c r="AI60" s="139">
        <v>0.6</v>
      </c>
      <c r="AJ60" s="83">
        <f t="shared" si="1"/>
        <v>2880</v>
      </c>
      <c r="AK60" s="83">
        <f t="shared" si="2"/>
        <v>4320</v>
      </c>
      <c r="AL60" s="104">
        <f t="shared" si="3"/>
        <v>9.9799331103678917</v>
      </c>
      <c r="AM60" s="104">
        <f t="shared" si="4"/>
        <v>9.9799331103678917</v>
      </c>
      <c r="AN60" s="83">
        <f t="shared" si="5"/>
        <v>28742.207357859526</v>
      </c>
      <c r="AO60" s="83">
        <f t="shared" si="6"/>
        <v>43113.311036789295</v>
      </c>
      <c r="AP60" s="182">
        <f t="shared" si="7"/>
        <v>98.072435414046794</v>
      </c>
      <c r="AQ60" s="182">
        <f t="shared" si="8"/>
        <v>147.1086531210702</v>
      </c>
      <c r="AR60" s="85"/>
      <c r="AS60" s="85"/>
      <c r="AT60" s="53"/>
      <c r="AU60" s="53"/>
      <c r="AV60" s="53"/>
      <c r="AW60" s="53"/>
      <c r="AX60" s="53"/>
      <c r="AY60" s="53"/>
      <c r="AZ60" s="53"/>
      <c r="BA60" s="53"/>
      <c r="BB60" s="53"/>
      <c r="BC60" s="111">
        <f t="shared" si="9"/>
        <v>28742.207357859526</v>
      </c>
      <c r="BD60" s="111">
        <f t="shared" si="10"/>
        <v>43113.311036789295</v>
      </c>
    </row>
    <row r="61" spans="1:56" ht="15.75" x14ac:dyDescent="0.25">
      <c r="A61" s="53">
        <v>51</v>
      </c>
      <c r="B61" s="53"/>
      <c r="C61" s="53"/>
      <c r="D61" s="53" t="s">
        <v>135</v>
      </c>
      <c r="E61" s="53"/>
      <c r="F61" s="53"/>
      <c r="G61" s="53" t="s">
        <v>290</v>
      </c>
      <c r="H61" s="53" t="s">
        <v>291</v>
      </c>
      <c r="I61" s="85" t="s">
        <v>366</v>
      </c>
      <c r="J61" s="85" t="s">
        <v>510</v>
      </c>
      <c r="K61" s="85" t="s">
        <v>512</v>
      </c>
      <c r="L61" s="53" t="s">
        <v>216</v>
      </c>
      <c r="M61" s="53" t="s">
        <v>295</v>
      </c>
      <c r="N61" s="53"/>
      <c r="O61" s="85" t="s">
        <v>514</v>
      </c>
      <c r="P61" s="53">
        <v>1</v>
      </c>
      <c r="Q61" s="183">
        <v>20</v>
      </c>
      <c r="R61" s="84">
        <v>0.89700000000000002</v>
      </c>
      <c r="S61" s="53">
        <v>27</v>
      </c>
      <c r="T61" s="53"/>
      <c r="U61" s="53">
        <v>3</v>
      </c>
      <c r="V61" s="53">
        <v>480</v>
      </c>
      <c r="W61" s="53"/>
      <c r="X61" s="53"/>
      <c r="Y61" s="53"/>
      <c r="Z61" s="53"/>
      <c r="AA61" s="53"/>
      <c r="AB61" s="53"/>
      <c r="AC61" s="137" t="s">
        <v>124</v>
      </c>
      <c r="AD61" s="138" t="s">
        <v>118</v>
      </c>
      <c r="AE61" s="83">
        <v>8760</v>
      </c>
      <c r="AF61" s="139">
        <v>1</v>
      </c>
      <c r="AG61" s="139">
        <f t="shared" si="11"/>
        <v>0.82191780821917804</v>
      </c>
      <c r="AH61" s="139">
        <v>0.6</v>
      </c>
      <c r="AI61" s="139">
        <v>0.6</v>
      </c>
      <c r="AJ61" s="83">
        <f t="shared" si="1"/>
        <v>2880</v>
      </c>
      <c r="AK61" s="83">
        <f t="shared" si="2"/>
        <v>4320</v>
      </c>
      <c r="AL61" s="104">
        <f t="shared" si="3"/>
        <v>9.9799331103678917</v>
      </c>
      <c r="AM61" s="104">
        <f t="shared" si="4"/>
        <v>9.9799331103678917</v>
      </c>
      <c r="AN61" s="83">
        <f t="shared" si="5"/>
        <v>28742.207357859526</v>
      </c>
      <c r="AO61" s="83">
        <f t="shared" si="6"/>
        <v>43113.311036789295</v>
      </c>
      <c r="AP61" s="182">
        <f t="shared" si="7"/>
        <v>98.072435414046794</v>
      </c>
      <c r="AQ61" s="182">
        <f t="shared" si="8"/>
        <v>147.1086531210702</v>
      </c>
      <c r="AR61" s="85"/>
      <c r="AS61" s="85"/>
      <c r="AT61" s="53"/>
      <c r="AU61" s="53"/>
      <c r="AV61" s="53"/>
      <c r="AW61" s="53"/>
      <c r="AX61" s="53"/>
      <c r="AY61" s="53"/>
      <c r="AZ61" s="53"/>
      <c r="BA61" s="53"/>
      <c r="BB61" s="53"/>
      <c r="BC61" s="111">
        <f t="shared" si="9"/>
        <v>28742.207357859526</v>
      </c>
      <c r="BD61" s="111">
        <f t="shared" si="10"/>
        <v>43113.311036789295</v>
      </c>
    </row>
    <row r="62" spans="1:56" ht="15.75" x14ac:dyDescent="0.25">
      <c r="A62" s="53">
        <v>52</v>
      </c>
      <c r="B62" s="53"/>
      <c r="C62" s="53"/>
      <c r="D62" s="53" t="s">
        <v>135</v>
      </c>
      <c r="E62" s="53"/>
      <c r="F62" s="53"/>
      <c r="G62" s="53" t="s">
        <v>290</v>
      </c>
      <c r="H62" s="53" t="s">
        <v>291</v>
      </c>
      <c r="I62" s="85" t="s">
        <v>366</v>
      </c>
      <c r="J62" s="85" t="s">
        <v>510</v>
      </c>
      <c r="K62" s="85" t="s">
        <v>515</v>
      </c>
      <c r="L62" s="53" t="s">
        <v>216</v>
      </c>
      <c r="M62" s="53" t="s">
        <v>295</v>
      </c>
      <c r="N62" s="53"/>
      <c r="O62" s="85" t="s">
        <v>517</v>
      </c>
      <c r="P62" s="53">
        <v>1</v>
      </c>
      <c r="Q62" s="183">
        <v>20</v>
      </c>
      <c r="R62" s="84">
        <v>0.89700000000000002</v>
      </c>
      <c r="S62" s="53">
        <v>27</v>
      </c>
      <c r="T62" s="53"/>
      <c r="U62" s="53">
        <v>3</v>
      </c>
      <c r="V62" s="53">
        <v>480</v>
      </c>
      <c r="W62" s="53"/>
      <c r="X62" s="53"/>
      <c r="Y62" s="53"/>
      <c r="Z62" s="53"/>
      <c r="AA62" s="53"/>
      <c r="AB62" s="53"/>
      <c r="AC62" s="137" t="s">
        <v>124</v>
      </c>
      <c r="AD62" s="138" t="s">
        <v>118</v>
      </c>
      <c r="AE62" s="83">
        <v>8760</v>
      </c>
      <c r="AF62" s="139">
        <v>1</v>
      </c>
      <c r="AG62" s="139">
        <f t="shared" si="11"/>
        <v>0.82191780821917804</v>
      </c>
      <c r="AH62" s="139">
        <v>0.6</v>
      </c>
      <c r="AI62" s="139">
        <v>0.6</v>
      </c>
      <c r="AJ62" s="83">
        <f t="shared" si="1"/>
        <v>2880</v>
      </c>
      <c r="AK62" s="83">
        <f t="shared" si="2"/>
        <v>4320</v>
      </c>
      <c r="AL62" s="104">
        <f t="shared" si="3"/>
        <v>9.9799331103678917</v>
      </c>
      <c r="AM62" s="104">
        <f t="shared" si="4"/>
        <v>9.9799331103678917</v>
      </c>
      <c r="AN62" s="83">
        <f t="shared" si="5"/>
        <v>28742.207357859526</v>
      </c>
      <c r="AO62" s="83">
        <f t="shared" si="6"/>
        <v>43113.311036789295</v>
      </c>
      <c r="AP62" s="182">
        <f t="shared" si="7"/>
        <v>98.072435414046794</v>
      </c>
      <c r="AQ62" s="182">
        <f t="shared" si="8"/>
        <v>147.1086531210702</v>
      </c>
      <c r="AR62" s="85"/>
      <c r="AS62" s="85"/>
      <c r="AT62" s="53"/>
      <c r="AU62" s="53"/>
      <c r="AV62" s="53"/>
      <c r="AW62" s="53"/>
      <c r="AX62" s="53"/>
      <c r="AY62" s="53"/>
      <c r="AZ62" s="53"/>
      <c r="BA62" s="53"/>
      <c r="BB62" s="53"/>
      <c r="BC62" s="111">
        <f t="shared" si="9"/>
        <v>28742.207357859526</v>
      </c>
      <c r="BD62" s="111">
        <f t="shared" si="10"/>
        <v>43113.311036789295</v>
      </c>
    </row>
    <row r="63" spans="1:56" ht="15.75" x14ac:dyDescent="0.25">
      <c r="A63" s="53">
        <v>53</v>
      </c>
      <c r="B63" s="53"/>
      <c r="C63" s="53"/>
      <c r="D63" s="53" t="s">
        <v>135</v>
      </c>
      <c r="E63" s="53"/>
      <c r="F63" s="53"/>
      <c r="G63" s="53" t="s">
        <v>290</v>
      </c>
      <c r="H63" s="53" t="s">
        <v>291</v>
      </c>
      <c r="I63" s="85" t="s">
        <v>366</v>
      </c>
      <c r="J63" s="85" t="s">
        <v>510</v>
      </c>
      <c r="K63" s="85" t="s">
        <v>518</v>
      </c>
      <c r="L63" s="53" t="s">
        <v>216</v>
      </c>
      <c r="M63" s="53" t="s">
        <v>295</v>
      </c>
      <c r="N63" s="53"/>
      <c r="O63" s="85" t="s">
        <v>519</v>
      </c>
      <c r="P63" s="53">
        <v>1</v>
      </c>
      <c r="Q63" s="183">
        <v>20</v>
      </c>
      <c r="R63" s="84">
        <v>0.89700000000000002</v>
      </c>
      <c r="S63" s="53">
        <v>27</v>
      </c>
      <c r="T63" s="53"/>
      <c r="U63" s="53">
        <v>3</v>
      </c>
      <c r="V63" s="53">
        <v>480</v>
      </c>
      <c r="W63" s="53"/>
      <c r="X63" s="53"/>
      <c r="Y63" s="53"/>
      <c r="Z63" s="53"/>
      <c r="AA63" s="53"/>
      <c r="AB63" s="53"/>
      <c r="AC63" s="137" t="s">
        <v>124</v>
      </c>
      <c r="AD63" s="138" t="s">
        <v>118</v>
      </c>
      <c r="AE63" s="83">
        <v>8760</v>
      </c>
      <c r="AF63" s="139">
        <v>1</v>
      </c>
      <c r="AG63" s="139">
        <f t="shared" si="11"/>
        <v>0.82191780821917804</v>
      </c>
      <c r="AH63" s="139">
        <v>0.6</v>
      </c>
      <c r="AI63" s="139">
        <v>0.6</v>
      </c>
      <c r="AJ63" s="83">
        <f t="shared" si="1"/>
        <v>2880</v>
      </c>
      <c r="AK63" s="83">
        <f t="shared" si="2"/>
        <v>4320</v>
      </c>
      <c r="AL63" s="104">
        <f t="shared" si="3"/>
        <v>9.9799331103678917</v>
      </c>
      <c r="AM63" s="104">
        <f t="shared" si="4"/>
        <v>9.9799331103678917</v>
      </c>
      <c r="AN63" s="83">
        <f t="shared" si="5"/>
        <v>28742.207357859526</v>
      </c>
      <c r="AO63" s="83">
        <f t="shared" si="6"/>
        <v>43113.311036789295</v>
      </c>
      <c r="AP63" s="182">
        <f t="shared" si="7"/>
        <v>98.072435414046794</v>
      </c>
      <c r="AQ63" s="182">
        <f t="shared" si="8"/>
        <v>147.1086531210702</v>
      </c>
      <c r="AR63" s="85"/>
      <c r="AS63" s="85"/>
      <c r="AT63" s="53"/>
      <c r="AU63" s="53"/>
      <c r="AV63" s="53"/>
      <c r="AW63" s="53"/>
      <c r="AX63" s="53"/>
      <c r="AY63" s="53"/>
      <c r="AZ63" s="53"/>
      <c r="BA63" s="53"/>
      <c r="BB63" s="53"/>
      <c r="BC63" s="111">
        <f t="shared" si="9"/>
        <v>28742.207357859526</v>
      </c>
      <c r="BD63" s="111">
        <f t="shared" si="10"/>
        <v>43113.311036789295</v>
      </c>
    </row>
    <row r="64" spans="1:56" ht="15.75" x14ac:dyDescent="0.25">
      <c r="A64" s="53">
        <v>54</v>
      </c>
      <c r="B64" s="53"/>
      <c r="C64" s="53"/>
      <c r="D64" s="53" t="s">
        <v>135</v>
      </c>
      <c r="E64" s="53"/>
      <c r="F64" s="53"/>
      <c r="G64" s="53" t="s">
        <v>290</v>
      </c>
      <c r="H64" s="53" t="s">
        <v>291</v>
      </c>
      <c r="I64" s="85" t="s">
        <v>366</v>
      </c>
      <c r="J64" s="85" t="s">
        <v>510</v>
      </c>
      <c r="K64" s="85" t="s">
        <v>520</v>
      </c>
      <c r="L64" s="53" t="s">
        <v>216</v>
      </c>
      <c r="M64" s="53" t="s">
        <v>295</v>
      </c>
      <c r="N64" s="53"/>
      <c r="O64" s="85" t="s">
        <v>521</v>
      </c>
      <c r="P64" s="53">
        <v>1</v>
      </c>
      <c r="Q64" s="183">
        <v>20</v>
      </c>
      <c r="R64" s="84">
        <v>0.89700000000000002</v>
      </c>
      <c r="S64" s="53">
        <v>27</v>
      </c>
      <c r="T64" s="53"/>
      <c r="U64" s="53">
        <v>3</v>
      </c>
      <c r="V64" s="53">
        <v>480</v>
      </c>
      <c r="W64" s="53"/>
      <c r="X64" s="53"/>
      <c r="Y64" s="53"/>
      <c r="Z64" s="53"/>
      <c r="AA64" s="53"/>
      <c r="AB64" s="53"/>
      <c r="AC64" s="137" t="s">
        <v>124</v>
      </c>
      <c r="AD64" s="138" t="s">
        <v>118</v>
      </c>
      <c r="AE64" s="83">
        <v>8760</v>
      </c>
      <c r="AF64" s="139">
        <v>1</v>
      </c>
      <c r="AG64" s="139">
        <f t="shared" si="11"/>
        <v>0.82191780821917804</v>
      </c>
      <c r="AH64" s="139">
        <v>0.6</v>
      </c>
      <c r="AI64" s="139">
        <v>0.6</v>
      </c>
      <c r="AJ64" s="83">
        <f t="shared" si="1"/>
        <v>2880</v>
      </c>
      <c r="AK64" s="83">
        <f t="shared" si="2"/>
        <v>4320</v>
      </c>
      <c r="AL64" s="104">
        <f t="shared" si="3"/>
        <v>9.9799331103678917</v>
      </c>
      <c r="AM64" s="104">
        <f t="shared" si="4"/>
        <v>9.9799331103678917</v>
      </c>
      <c r="AN64" s="83">
        <f t="shared" si="5"/>
        <v>28742.207357859526</v>
      </c>
      <c r="AO64" s="83">
        <f t="shared" si="6"/>
        <v>43113.311036789295</v>
      </c>
      <c r="AP64" s="182">
        <f t="shared" si="7"/>
        <v>98.072435414046794</v>
      </c>
      <c r="AQ64" s="182">
        <f t="shared" si="8"/>
        <v>147.1086531210702</v>
      </c>
      <c r="AR64" s="85"/>
      <c r="AS64" s="85"/>
      <c r="AT64" s="53"/>
      <c r="AU64" s="53"/>
      <c r="AV64" s="53"/>
      <c r="AW64" s="53"/>
      <c r="AX64" s="53"/>
      <c r="AY64" s="53"/>
      <c r="AZ64" s="53"/>
      <c r="BA64" s="53"/>
      <c r="BB64" s="53"/>
      <c r="BC64" s="111">
        <f t="shared" si="9"/>
        <v>28742.207357859526</v>
      </c>
      <c r="BD64" s="111">
        <f t="shared" si="10"/>
        <v>43113.311036789295</v>
      </c>
    </row>
    <row r="65" spans="1:56" ht="15.75" x14ac:dyDescent="0.25">
      <c r="A65" s="53">
        <v>55</v>
      </c>
      <c r="B65" s="53"/>
      <c r="C65" s="53"/>
      <c r="D65" s="53" t="s">
        <v>135</v>
      </c>
      <c r="E65" s="53"/>
      <c r="F65" s="53"/>
      <c r="G65" s="53" t="s">
        <v>290</v>
      </c>
      <c r="H65" s="53" t="s">
        <v>291</v>
      </c>
      <c r="I65" s="85" t="s">
        <v>366</v>
      </c>
      <c r="J65" s="85" t="s">
        <v>510</v>
      </c>
      <c r="K65" s="85" t="s">
        <v>522</v>
      </c>
      <c r="L65" s="53" t="s">
        <v>216</v>
      </c>
      <c r="M65" s="53" t="s">
        <v>295</v>
      </c>
      <c r="N65" s="53"/>
      <c r="O65" s="85" t="s">
        <v>524</v>
      </c>
      <c r="P65" s="53">
        <v>1</v>
      </c>
      <c r="Q65" s="183">
        <v>20</v>
      </c>
      <c r="R65" s="84">
        <v>0.89700000000000002</v>
      </c>
      <c r="S65" s="53">
        <v>27</v>
      </c>
      <c r="T65" s="53"/>
      <c r="U65" s="53">
        <v>3</v>
      </c>
      <c r="V65" s="53">
        <v>480</v>
      </c>
      <c r="W65" s="53"/>
      <c r="X65" s="53"/>
      <c r="Y65" s="53"/>
      <c r="Z65" s="53"/>
      <c r="AA65" s="53"/>
      <c r="AB65" s="53"/>
      <c r="AC65" s="137" t="s">
        <v>124</v>
      </c>
      <c r="AD65" s="138" t="s">
        <v>118</v>
      </c>
      <c r="AE65" s="83">
        <v>8760</v>
      </c>
      <c r="AF65" s="139">
        <v>1</v>
      </c>
      <c r="AG65" s="139">
        <f t="shared" si="11"/>
        <v>0.82191780821917804</v>
      </c>
      <c r="AH65" s="139">
        <v>0.6</v>
      </c>
      <c r="AI65" s="139">
        <v>0.6</v>
      </c>
      <c r="AJ65" s="83">
        <f t="shared" si="1"/>
        <v>2880</v>
      </c>
      <c r="AK65" s="83">
        <f t="shared" si="2"/>
        <v>4320</v>
      </c>
      <c r="AL65" s="104">
        <f t="shared" si="3"/>
        <v>9.9799331103678917</v>
      </c>
      <c r="AM65" s="104">
        <f t="shared" si="4"/>
        <v>9.9799331103678917</v>
      </c>
      <c r="AN65" s="83">
        <f t="shared" si="5"/>
        <v>28742.207357859526</v>
      </c>
      <c r="AO65" s="83">
        <f t="shared" si="6"/>
        <v>43113.311036789295</v>
      </c>
      <c r="AP65" s="182">
        <f t="shared" si="7"/>
        <v>98.072435414046794</v>
      </c>
      <c r="AQ65" s="182">
        <f t="shared" si="8"/>
        <v>147.1086531210702</v>
      </c>
      <c r="AR65" s="85"/>
      <c r="AS65" s="85"/>
      <c r="AT65" s="53"/>
      <c r="AU65" s="53"/>
      <c r="AV65" s="53"/>
      <c r="AW65" s="53"/>
      <c r="AX65" s="53"/>
      <c r="AY65" s="53"/>
      <c r="AZ65" s="53"/>
      <c r="BA65" s="53"/>
      <c r="BB65" s="53"/>
      <c r="BC65" s="111">
        <f t="shared" si="9"/>
        <v>28742.207357859526</v>
      </c>
      <c r="BD65" s="111">
        <f t="shared" si="10"/>
        <v>43113.311036789295</v>
      </c>
    </row>
    <row r="66" spans="1:56" ht="15.75" x14ac:dyDescent="0.25">
      <c r="A66" s="53">
        <v>56</v>
      </c>
      <c r="B66" s="53"/>
      <c r="C66" s="53"/>
      <c r="D66" s="53" t="s">
        <v>135</v>
      </c>
      <c r="E66" s="53"/>
      <c r="F66" s="53"/>
      <c r="G66" s="53" t="s">
        <v>290</v>
      </c>
      <c r="H66" s="53" t="s">
        <v>291</v>
      </c>
      <c r="I66" s="85" t="s">
        <v>366</v>
      </c>
      <c r="J66" s="85" t="s">
        <v>510</v>
      </c>
      <c r="K66" s="85" t="s">
        <v>525</v>
      </c>
      <c r="L66" s="53" t="s">
        <v>216</v>
      </c>
      <c r="M66" s="53" t="s">
        <v>295</v>
      </c>
      <c r="N66" s="53"/>
      <c r="O66" s="85" t="s">
        <v>527</v>
      </c>
      <c r="P66" s="53">
        <v>1</v>
      </c>
      <c r="Q66" s="183">
        <v>20</v>
      </c>
      <c r="R66" s="84">
        <v>0.89700000000000002</v>
      </c>
      <c r="S66" s="53">
        <v>27</v>
      </c>
      <c r="T66" s="53"/>
      <c r="U66" s="53">
        <v>3</v>
      </c>
      <c r="V66" s="53">
        <v>480</v>
      </c>
      <c r="W66" s="53"/>
      <c r="X66" s="53"/>
      <c r="Y66" s="53"/>
      <c r="Z66" s="53"/>
      <c r="AA66" s="53"/>
      <c r="AB66" s="53"/>
      <c r="AC66" s="137" t="s">
        <v>124</v>
      </c>
      <c r="AD66" s="138" t="s">
        <v>118</v>
      </c>
      <c r="AE66" s="83">
        <v>8760</v>
      </c>
      <c r="AF66" s="139">
        <v>1</v>
      </c>
      <c r="AG66" s="139">
        <f t="shared" si="11"/>
        <v>0.82191780821917804</v>
      </c>
      <c r="AH66" s="139">
        <v>0.6</v>
      </c>
      <c r="AI66" s="139">
        <v>0.6</v>
      </c>
      <c r="AJ66" s="83">
        <f t="shared" si="1"/>
        <v>2880</v>
      </c>
      <c r="AK66" s="83">
        <f t="shared" si="2"/>
        <v>4320</v>
      </c>
      <c r="AL66" s="104">
        <f t="shared" si="3"/>
        <v>9.9799331103678917</v>
      </c>
      <c r="AM66" s="104">
        <f t="shared" si="4"/>
        <v>9.9799331103678917</v>
      </c>
      <c r="AN66" s="83">
        <f t="shared" si="5"/>
        <v>28742.207357859526</v>
      </c>
      <c r="AO66" s="83">
        <f t="shared" si="6"/>
        <v>43113.311036789295</v>
      </c>
      <c r="AP66" s="182">
        <f t="shared" si="7"/>
        <v>98.072435414046794</v>
      </c>
      <c r="AQ66" s="182">
        <f t="shared" si="8"/>
        <v>147.1086531210702</v>
      </c>
      <c r="AR66" s="85"/>
      <c r="AS66" s="85"/>
      <c r="AT66" s="53"/>
      <c r="AU66" s="53"/>
      <c r="AV66" s="53"/>
      <c r="AW66" s="53"/>
      <c r="AX66" s="53"/>
      <c r="AY66" s="53"/>
      <c r="AZ66" s="53"/>
      <c r="BA66" s="53"/>
      <c r="BB66" s="53"/>
      <c r="BC66" s="111">
        <f t="shared" si="9"/>
        <v>28742.207357859526</v>
      </c>
      <c r="BD66" s="111">
        <f t="shared" si="10"/>
        <v>43113.311036789295</v>
      </c>
    </row>
    <row r="67" spans="1:56" ht="15.75" x14ac:dyDescent="0.25">
      <c r="A67" s="53">
        <v>57</v>
      </c>
      <c r="B67" s="53"/>
      <c r="C67" s="53"/>
      <c r="D67" s="53" t="s">
        <v>135</v>
      </c>
      <c r="E67" s="53"/>
      <c r="F67" s="53"/>
      <c r="G67" s="53" t="s">
        <v>290</v>
      </c>
      <c r="H67" s="53" t="s">
        <v>291</v>
      </c>
      <c r="I67" s="85" t="s">
        <v>368</v>
      </c>
      <c r="J67" s="85" t="s">
        <v>369</v>
      </c>
      <c r="K67" s="85" t="s">
        <v>294</v>
      </c>
      <c r="L67" s="53" t="s">
        <v>216</v>
      </c>
      <c r="M67" s="53" t="s">
        <v>295</v>
      </c>
      <c r="N67" s="53"/>
      <c r="O67" s="85" t="s">
        <v>135</v>
      </c>
      <c r="P67" s="53">
        <v>1</v>
      </c>
      <c r="Q67" s="183">
        <v>60</v>
      </c>
      <c r="R67" s="84">
        <v>0.91300000000000003</v>
      </c>
      <c r="S67" s="53">
        <v>72</v>
      </c>
      <c r="T67" s="53"/>
      <c r="U67" s="53">
        <v>3</v>
      </c>
      <c r="V67" s="53">
        <v>480</v>
      </c>
      <c r="W67" s="53"/>
      <c r="X67" s="53"/>
      <c r="Y67" s="53"/>
      <c r="Z67" s="53"/>
      <c r="AA67" s="53"/>
      <c r="AB67" s="53"/>
      <c r="AC67" s="137" t="s">
        <v>124</v>
      </c>
      <c r="AD67" s="138" t="s">
        <v>118</v>
      </c>
      <c r="AE67" s="83">
        <v>8760</v>
      </c>
      <c r="AF67" s="139">
        <v>1</v>
      </c>
      <c r="AG67" s="139">
        <f t="shared" si="11"/>
        <v>0.82191780821917804</v>
      </c>
      <c r="AH67" s="139">
        <v>0.6</v>
      </c>
      <c r="AI67" s="139">
        <v>0.6</v>
      </c>
      <c r="AJ67" s="83">
        <f t="shared" si="1"/>
        <v>2880</v>
      </c>
      <c r="AK67" s="83">
        <f t="shared" si="2"/>
        <v>4320</v>
      </c>
      <c r="AL67" s="104">
        <f t="shared" si="3"/>
        <v>29.415115005476448</v>
      </c>
      <c r="AM67" s="104">
        <f t="shared" si="4"/>
        <v>29.415115005476448</v>
      </c>
      <c r="AN67" s="83">
        <f t="shared" si="5"/>
        <v>84715.531215772164</v>
      </c>
      <c r="AO67" s="83">
        <f t="shared" si="6"/>
        <v>127073.29682365825</v>
      </c>
      <c r="AP67" s="182">
        <f t="shared" si="7"/>
        <v>289.06125268258484</v>
      </c>
      <c r="AQ67" s="182">
        <f t="shared" si="8"/>
        <v>433.59187902387725</v>
      </c>
      <c r="AR67" s="85"/>
      <c r="AS67" s="85"/>
      <c r="AT67" s="53"/>
      <c r="AU67" s="53"/>
      <c r="AV67" s="53"/>
      <c r="AW67" s="53"/>
      <c r="AX67" s="53"/>
      <c r="AY67" s="53"/>
      <c r="AZ67" s="53"/>
      <c r="BA67" s="53"/>
      <c r="BB67" s="53"/>
      <c r="BC67" s="111">
        <f t="shared" si="9"/>
        <v>84715.531215772164</v>
      </c>
      <c r="BD67" s="111">
        <f t="shared" si="10"/>
        <v>127073.29682365825</v>
      </c>
    </row>
    <row r="68" spans="1:56" ht="15.75" x14ac:dyDescent="0.25">
      <c r="A68" s="53">
        <v>58</v>
      </c>
      <c r="B68" s="53"/>
      <c r="C68" s="53"/>
      <c r="D68" s="53" t="s">
        <v>135</v>
      </c>
      <c r="E68" s="53"/>
      <c r="F68" s="53"/>
      <c r="G68" s="53" t="s">
        <v>290</v>
      </c>
      <c r="H68" s="53" t="s">
        <v>291</v>
      </c>
      <c r="I68" s="85" t="s">
        <v>368</v>
      </c>
      <c r="J68" s="85" t="s">
        <v>749</v>
      </c>
      <c r="K68" s="85" t="s">
        <v>360</v>
      </c>
      <c r="L68" s="53" t="s">
        <v>216</v>
      </c>
      <c r="M68" s="53" t="s">
        <v>361</v>
      </c>
      <c r="N68" s="53"/>
      <c r="O68" s="85" t="s">
        <v>135</v>
      </c>
      <c r="P68" s="53">
        <v>1</v>
      </c>
      <c r="Q68" s="183">
        <v>3</v>
      </c>
      <c r="R68" s="84">
        <v>0.87050000000000005</v>
      </c>
      <c r="S68" s="53">
        <v>4.8</v>
      </c>
      <c r="T68" s="53"/>
      <c r="U68" s="53">
        <v>3</v>
      </c>
      <c r="V68" s="53">
        <v>480</v>
      </c>
      <c r="W68" s="53"/>
      <c r="X68" s="53"/>
      <c r="Y68" s="53"/>
      <c r="Z68" s="53"/>
      <c r="AA68" s="53"/>
      <c r="AB68" s="53"/>
      <c r="AC68" s="137" t="s">
        <v>124</v>
      </c>
      <c r="AD68" s="138" t="s">
        <v>118</v>
      </c>
      <c r="AE68" s="83">
        <v>8760</v>
      </c>
      <c r="AF68" s="139">
        <v>1</v>
      </c>
      <c r="AG68" s="139">
        <f t="shared" si="11"/>
        <v>0.82191780821917804</v>
      </c>
      <c r="AH68" s="139">
        <v>0.75</v>
      </c>
      <c r="AI68" s="139">
        <v>0.75</v>
      </c>
      <c r="AJ68" s="83">
        <f t="shared" si="1"/>
        <v>2880</v>
      </c>
      <c r="AK68" s="83">
        <f t="shared" si="2"/>
        <v>4320</v>
      </c>
      <c r="AL68" s="104">
        <f t="shared" si="3"/>
        <v>1.9282021826536473</v>
      </c>
      <c r="AM68" s="104">
        <f t="shared" si="4"/>
        <v>1.9282021826536473</v>
      </c>
      <c r="AN68" s="83">
        <f t="shared" si="5"/>
        <v>5553.2222860425045</v>
      </c>
      <c r="AO68" s="83">
        <f t="shared" si="6"/>
        <v>8329.8334290637558</v>
      </c>
      <c r="AP68" s="182">
        <f t="shared" si="7"/>
        <v>18.948371891097068</v>
      </c>
      <c r="AQ68" s="182">
        <f t="shared" si="8"/>
        <v>28.422557836645602</v>
      </c>
      <c r="AR68" s="85"/>
      <c r="AS68" s="85"/>
      <c r="AT68" s="53"/>
      <c r="AU68" s="53"/>
      <c r="AV68" s="53"/>
      <c r="AW68" s="53"/>
      <c r="AX68" s="53"/>
      <c r="AY68" s="53"/>
      <c r="AZ68" s="53"/>
      <c r="BA68" s="53"/>
      <c r="BB68" s="53"/>
      <c r="BC68" s="111">
        <f t="shared" si="9"/>
        <v>5553.2222860425045</v>
      </c>
      <c r="BD68" s="111">
        <f t="shared" si="10"/>
        <v>8329.8334290637558</v>
      </c>
    </row>
    <row r="69" spans="1:56" ht="15.75" x14ac:dyDescent="0.25">
      <c r="A69" s="53">
        <v>59</v>
      </c>
      <c r="B69" s="53"/>
      <c r="C69" s="53"/>
      <c r="D69" s="53" t="s">
        <v>135</v>
      </c>
      <c r="E69" s="53"/>
      <c r="F69" s="53"/>
      <c r="G69" s="53" t="s">
        <v>290</v>
      </c>
      <c r="H69" s="53" t="s">
        <v>291</v>
      </c>
      <c r="I69" s="85" t="s">
        <v>366</v>
      </c>
      <c r="J69" s="85" t="s">
        <v>369</v>
      </c>
      <c r="K69" s="85" t="s">
        <v>365</v>
      </c>
      <c r="L69" s="53" t="s">
        <v>216</v>
      </c>
      <c r="M69" s="53" t="s">
        <v>295</v>
      </c>
      <c r="N69" s="53"/>
      <c r="O69" s="85" t="s">
        <v>135</v>
      </c>
      <c r="P69" s="53">
        <v>1</v>
      </c>
      <c r="Q69" s="183">
        <v>20</v>
      </c>
      <c r="R69" s="84">
        <v>0.89700000000000002</v>
      </c>
      <c r="S69" s="53">
        <v>27</v>
      </c>
      <c r="T69" s="53"/>
      <c r="U69" s="53">
        <v>3</v>
      </c>
      <c r="V69" s="53">
        <v>480</v>
      </c>
      <c r="W69" s="53"/>
      <c r="X69" s="53"/>
      <c r="Y69" s="53"/>
      <c r="Z69" s="53"/>
      <c r="AA69" s="53"/>
      <c r="AB69" s="53"/>
      <c r="AC69" s="137" t="s">
        <v>124</v>
      </c>
      <c r="AD69" s="138" t="s">
        <v>118</v>
      </c>
      <c r="AE69" s="83">
        <v>8760</v>
      </c>
      <c r="AF69" s="139">
        <v>1</v>
      </c>
      <c r="AG69" s="139">
        <f t="shared" si="11"/>
        <v>0.82191780821917804</v>
      </c>
      <c r="AH69" s="139">
        <v>0.6</v>
      </c>
      <c r="AI69" s="139">
        <v>0.6</v>
      </c>
      <c r="AJ69" s="83">
        <f t="shared" si="1"/>
        <v>2880</v>
      </c>
      <c r="AK69" s="83">
        <f t="shared" si="2"/>
        <v>4320</v>
      </c>
      <c r="AL69" s="104">
        <f t="shared" si="3"/>
        <v>9.9799331103678917</v>
      </c>
      <c r="AM69" s="104">
        <f t="shared" si="4"/>
        <v>9.9799331103678917</v>
      </c>
      <c r="AN69" s="83">
        <f t="shared" si="5"/>
        <v>28742.207357859526</v>
      </c>
      <c r="AO69" s="83">
        <f t="shared" si="6"/>
        <v>43113.311036789295</v>
      </c>
      <c r="AP69" s="182">
        <f t="shared" si="7"/>
        <v>98.072435414046794</v>
      </c>
      <c r="AQ69" s="182">
        <f t="shared" si="8"/>
        <v>147.1086531210702</v>
      </c>
      <c r="AR69" s="85"/>
      <c r="AS69" s="85"/>
      <c r="AT69" s="53"/>
      <c r="AU69" s="53"/>
      <c r="AV69" s="53"/>
      <c r="AW69" s="53"/>
      <c r="AX69" s="53"/>
      <c r="AY69" s="53"/>
      <c r="AZ69" s="53"/>
      <c r="BA69" s="53"/>
      <c r="BB69" s="53"/>
      <c r="BC69" s="111">
        <f t="shared" si="9"/>
        <v>28742.207357859526</v>
      </c>
      <c r="BD69" s="111">
        <f t="shared" si="10"/>
        <v>43113.311036789295</v>
      </c>
    </row>
    <row r="70" spans="1:56" ht="15.75" x14ac:dyDescent="0.25">
      <c r="A70" s="53">
        <v>60</v>
      </c>
      <c r="B70" s="53"/>
      <c r="C70" s="53"/>
      <c r="D70" s="53" t="s">
        <v>135</v>
      </c>
      <c r="E70" s="53"/>
      <c r="F70" s="53"/>
      <c r="G70" s="53" t="s">
        <v>290</v>
      </c>
      <c r="H70" s="53" t="s">
        <v>291</v>
      </c>
      <c r="I70" s="85" t="s">
        <v>368</v>
      </c>
      <c r="J70" s="85" t="s">
        <v>369</v>
      </c>
      <c r="K70" s="85" t="s">
        <v>747</v>
      </c>
      <c r="L70" s="53" t="s">
        <v>216</v>
      </c>
      <c r="M70" s="53" t="s">
        <v>295</v>
      </c>
      <c r="N70" s="53"/>
      <c r="O70" s="85" t="s">
        <v>135</v>
      </c>
      <c r="P70" s="53">
        <v>1</v>
      </c>
      <c r="Q70" s="183">
        <v>5</v>
      </c>
      <c r="R70" s="84">
        <v>0.87050000000000005</v>
      </c>
      <c r="S70" s="53">
        <v>7.6</v>
      </c>
      <c r="T70" s="53"/>
      <c r="U70" s="53">
        <v>3</v>
      </c>
      <c r="V70" s="53">
        <v>480</v>
      </c>
      <c r="W70" s="53"/>
      <c r="X70" s="53"/>
      <c r="Y70" s="53"/>
      <c r="Z70" s="53"/>
      <c r="AA70" s="53"/>
      <c r="AB70" s="53"/>
      <c r="AC70" s="137" t="s">
        <v>124</v>
      </c>
      <c r="AD70" s="138" t="s">
        <v>118</v>
      </c>
      <c r="AE70" s="83">
        <v>8760</v>
      </c>
      <c r="AF70" s="139">
        <v>1</v>
      </c>
      <c r="AG70" s="139">
        <f t="shared" si="11"/>
        <v>0.82191780821917804</v>
      </c>
      <c r="AH70" s="139">
        <v>0.6</v>
      </c>
      <c r="AI70" s="139">
        <v>0.6</v>
      </c>
      <c r="AJ70" s="83">
        <f t="shared" si="1"/>
        <v>2880</v>
      </c>
      <c r="AK70" s="83">
        <f t="shared" si="2"/>
        <v>4320</v>
      </c>
      <c r="AL70" s="104">
        <f t="shared" si="3"/>
        <v>2.5709362435381959</v>
      </c>
      <c r="AM70" s="104">
        <f t="shared" si="4"/>
        <v>2.5709362435381959</v>
      </c>
      <c r="AN70" s="83">
        <f t="shared" si="5"/>
        <v>7404.2963813900042</v>
      </c>
      <c r="AO70" s="83">
        <f t="shared" si="6"/>
        <v>11106.444572085007</v>
      </c>
      <c r="AP70" s="182">
        <f t="shared" si="7"/>
        <v>25.264495854796088</v>
      </c>
      <c r="AQ70" s="182">
        <f t="shared" si="8"/>
        <v>37.896743782194136</v>
      </c>
      <c r="AR70" s="85"/>
      <c r="AS70" s="85"/>
      <c r="AT70" s="53"/>
      <c r="AU70" s="53"/>
      <c r="AV70" s="53"/>
      <c r="AW70" s="53"/>
      <c r="AX70" s="53"/>
      <c r="AY70" s="53"/>
      <c r="AZ70" s="53"/>
      <c r="BA70" s="53"/>
      <c r="BB70" s="53"/>
      <c r="BC70" s="111">
        <f t="shared" si="9"/>
        <v>7404.2963813900042</v>
      </c>
      <c r="BD70" s="111">
        <f t="shared" si="10"/>
        <v>11106.444572085007</v>
      </c>
    </row>
    <row r="71" spans="1:56" ht="15.75" x14ac:dyDescent="0.25">
      <c r="A71" s="53">
        <v>61</v>
      </c>
      <c r="B71" s="53"/>
      <c r="C71" s="53"/>
      <c r="D71" s="53" t="s">
        <v>135</v>
      </c>
      <c r="E71" s="53"/>
      <c r="F71" s="53"/>
      <c r="G71" s="53" t="s">
        <v>290</v>
      </c>
      <c r="H71" s="53" t="s">
        <v>291</v>
      </c>
      <c r="I71" s="85" t="s">
        <v>368</v>
      </c>
      <c r="J71" s="85" t="s">
        <v>369</v>
      </c>
      <c r="K71" s="85" t="s">
        <v>719</v>
      </c>
      <c r="L71" s="53" t="s">
        <v>216</v>
      </c>
      <c r="M71" s="53" t="s">
        <v>295</v>
      </c>
      <c r="N71" s="53"/>
      <c r="O71" s="85" t="s">
        <v>135</v>
      </c>
      <c r="P71" s="53">
        <v>1</v>
      </c>
      <c r="Q71" s="183">
        <v>5</v>
      </c>
      <c r="R71" s="84">
        <v>0.87050000000000005</v>
      </c>
      <c r="S71" s="53">
        <v>7.6</v>
      </c>
      <c r="T71" s="53"/>
      <c r="U71" s="53">
        <v>3</v>
      </c>
      <c r="V71" s="53">
        <v>480</v>
      </c>
      <c r="W71" s="53"/>
      <c r="X71" s="53"/>
      <c r="Y71" s="53"/>
      <c r="Z71" s="53"/>
      <c r="AA71" s="53"/>
      <c r="AB71" s="53"/>
      <c r="AC71" s="137" t="s">
        <v>124</v>
      </c>
      <c r="AD71" s="138" t="s">
        <v>118</v>
      </c>
      <c r="AE71" s="83">
        <v>8760</v>
      </c>
      <c r="AF71" s="139">
        <v>1</v>
      </c>
      <c r="AG71" s="139">
        <f t="shared" si="11"/>
        <v>0.82191780821917804</v>
      </c>
      <c r="AH71" s="139">
        <v>0.6</v>
      </c>
      <c r="AI71" s="139">
        <v>0.6</v>
      </c>
      <c r="AJ71" s="83">
        <f t="shared" si="1"/>
        <v>2880</v>
      </c>
      <c r="AK71" s="83">
        <f t="shared" si="2"/>
        <v>4320</v>
      </c>
      <c r="AL71" s="104">
        <f t="shared" si="3"/>
        <v>2.5709362435381959</v>
      </c>
      <c r="AM71" s="104">
        <f t="shared" si="4"/>
        <v>2.5709362435381959</v>
      </c>
      <c r="AN71" s="83">
        <f t="shared" si="5"/>
        <v>7404.2963813900042</v>
      </c>
      <c r="AO71" s="83">
        <f t="shared" si="6"/>
        <v>11106.444572085007</v>
      </c>
      <c r="AP71" s="182">
        <f t="shared" si="7"/>
        <v>25.264495854796088</v>
      </c>
      <c r="AQ71" s="182">
        <f t="shared" si="8"/>
        <v>37.896743782194136</v>
      </c>
      <c r="AR71" s="85"/>
      <c r="AS71" s="85"/>
      <c r="AT71" s="53"/>
      <c r="AU71" s="53"/>
      <c r="AV71" s="53"/>
      <c r="AW71" s="53"/>
      <c r="AX71" s="53"/>
      <c r="AY71" s="53"/>
      <c r="AZ71" s="53"/>
      <c r="BA71" s="53"/>
      <c r="BB71" s="53"/>
      <c r="BC71" s="111">
        <f t="shared" si="9"/>
        <v>7404.2963813900042</v>
      </c>
      <c r="BD71" s="111">
        <f t="shared" si="10"/>
        <v>11106.444572085007</v>
      </c>
    </row>
    <row r="72" spans="1:56" ht="15.75" x14ac:dyDescent="0.25">
      <c r="A72" s="53">
        <v>62</v>
      </c>
      <c r="B72" s="53"/>
      <c r="C72" s="53"/>
      <c r="D72" s="53" t="s">
        <v>135</v>
      </c>
      <c r="E72" s="53"/>
      <c r="F72" s="53"/>
      <c r="G72" s="53" t="s">
        <v>290</v>
      </c>
      <c r="H72" s="53" t="s">
        <v>291</v>
      </c>
      <c r="I72" s="85" t="s">
        <v>368</v>
      </c>
      <c r="J72" s="85" t="s">
        <v>369</v>
      </c>
      <c r="K72" s="85" t="s">
        <v>743</v>
      </c>
      <c r="L72" s="53" t="s">
        <v>216</v>
      </c>
      <c r="M72" s="53" t="s">
        <v>295</v>
      </c>
      <c r="N72" s="53"/>
      <c r="O72" s="85" t="s">
        <v>135</v>
      </c>
      <c r="P72" s="53">
        <v>1</v>
      </c>
      <c r="Q72" s="183">
        <v>5</v>
      </c>
      <c r="R72" s="84">
        <v>0.87050000000000005</v>
      </c>
      <c r="S72" s="53">
        <v>7.6</v>
      </c>
      <c r="T72" s="53"/>
      <c r="U72" s="53">
        <v>3</v>
      </c>
      <c r="V72" s="53">
        <v>480</v>
      </c>
      <c r="W72" s="53"/>
      <c r="X72" s="53"/>
      <c r="Y72" s="53"/>
      <c r="Z72" s="53"/>
      <c r="AA72" s="53"/>
      <c r="AB72" s="53"/>
      <c r="AC72" s="137" t="s">
        <v>124</v>
      </c>
      <c r="AD72" s="138" t="s">
        <v>118</v>
      </c>
      <c r="AE72" s="83">
        <v>8760</v>
      </c>
      <c r="AF72" s="139">
        <v>1</v>
      </c>
      <c r="AG72" s="139">
        <f t="shared" si="11"/>
        <v>0.82191780821917804</v>
      </c>
      <c r="AH72" s="139">
        <v>0.6</v>
      </c>
      <c r="AI72" s="139">
        <v>0.6</v>
      </c>
      <c r="AJ72" s="83">
        <f t="shared" si="1"/>
        <v>2880</v>
      </c>
      <c r="AK72" s="83">
        <f t="shared" si="2"/>
        <v>4320</v>
      </c>
      <c r="AL72" s="104">
        <f t="shared" si="3"/>
        <v>2.5709362435381959</v>
      </c>
      <c r="AM72" s="104">
        <f t="shared" si="4"/>
        <v>2.5709362435381959</v>
      </c>
      <c r="AN72" s="83">
        <f t="shared" si="5"/>
        <v>7404.2963813900042</v>
      </c>
      <c r="AO72" s="83">
        <f t="shared" si="6"/>
        <v>11106.444572085007</v>
      </c>
      <c r="AP72" s="182">
        <f t="shared" si="7"/>
        <v>25.264495854796088</v>
      </c>
      <c r="AQ72" s="182">
        <f t="shared" si="8"/>
        <v>37.896743782194136</v>
      </c>
      <c r="AR72" s="85"/>
      <c r="AS72" s="85"/>
      <c r="AT72" s="53"/>
      <c r="AU72" s="53"/>
      <c r="AV72" s="53"/>
      <c r="AW72" s="53"/>
      <c r="AX72" s="53"/>
      <c r="AY72" s="53"/>
      <c r="AZ72" s="53"/>
      <c r="BA72" s="53"/>
      <c r="BB72" s="53"/>
      <c r="BC72" s="111">
        <f t="shared" si="9"/>
        <v>7404.2963813900042</v>
      </c>
      <c r="BD72" s="111">
        <f t="shared" si="10"/>
        <v>11106.444572085007</v>
      </c>
    </row>
    <row r="73" spans="1:56" ht="15.75" x14ac:dyDescent="0.25">
      <c r="A73" s="53">
        <v>63</v>
      </c>
      <c r="B73" s="53"/>
      <c r="C73" s="53"/>
      <c r="D73" s="53" t="s">
        <v>135</v>
      </c>
      <c r="E73" s="53"/>
      <c r="F73" s="53"/>
      <c r="G73" s="53" t="s">
        <v>290</v>
      </c>
      <c r="H73" s="53" t="s">
        <v>291</v>
      </c>
      <c r="I73" s="85" t="s">
        <v>368</v>
      </c>
      <c r="J73" s="85" t="s">
        <v>369</v>
      </c>
      <c r="K73" s="85" t="s">
        <v>744</v>
      </c>
      <c r="L73" s="53" t="s">
        <v>216</v>
      </c>
      <c r="M73" s="53" t="s">
        <v>295</v>
      </c>
      <c r="N73" s="53"/>
      <c r="O73" s="85" t="s">
        <v>135</v>
      </c>
      <c r="P73" s="53">
        <v>1</v>
      </c>
      <c r="Q73" s="183">
        <v>5</v>
      </c>
      <c r="R73" s="84">
        <v>0.87050000000000005</v>
      </c>
      <c r="S73" s="53">
        <v>7.6</v>
      </c>
      <c r="T73" s="53"/>
      <c r="U73" s="53">
        <v>3</v>
      </c>
      <c r="V73" s="53">
        <v>480</v>
      </c>
      <c r="W73" s="53"/>
      <c r="X73" s="53"/>
      <c r="Y73" s="53"/>
      <c r="Z73" s="53"/>
      <c r="AA73" s="53"/>
      <c r="AB73" s="53"/>
      <c r="AC73" s="137" t="s">
        <v>124</v>
      </c>
      <c r="AD73" s="138" t="s">
        <v>118</v>
      </c>
      <c r="AE73" s="83">
        <v>8760</v>
      </c>
      <c r="AF73" s="139">
        <v>1</v>
      </c>
      <c r="AG73" s="139">
        <f t="shared" si="11"/>
        <v>0.82191780821917804</v>
      </c>
      <c r="AH73" s="139">
        <v>0.6</v>
      </c>
      <c r="AI73" s="139">
        <v>0.6</v>
      </c>
      <c r="AJ73" s="83">
        <f t="shared" si="1"/>
        <v>2880</v>
      </c>
      <c r="AK73" s="83">
        <f t="shared" si="2"/>
        <v>4320</v>
      </c>
      <c r="AL73" s="104">
        <f t="shared" si="3"/>
        <v>2.5709362435381959</v>
      </c>
      <c r="AM73" s="104">
        <f t="shared" si="4"/>
        <v>2.5709362435381959</v>
      </c>
      <c r="AN73" s="83">
        <f t="shared" si="5"/>
        <v>7404.2963813900042</v>
      </c>
      <c r="AO73" s="83">
        <f t="shared" si="6"/>
        <v>11106.444572085007</v>
      </c>
      <c r="AP73" s="182">
        <f t="shared" si="7"/>
        <v>25.264495854796088</v>
      </c>
      <c r="AQ73" s="182">
        <f t="shared" si="8"/>
        <v>37.896743782194136</v>
      </c>
      <c r="AR73" s="85"/>
      <c r="AS73" s="85"/>
      <c r="AT73" s="53"/>
      <c r="AU73" s="53"/>
      <c r="AV73" s="53"/>
      <c r="AW73" s="53"/>
      <c r="AX73" s="53"/>
      <c r="AY73" s="53"/>
      <c r="AZ73" s="53"/>
      <c r="BA73" s="53"/>
      <c r="BB73" s="53"/>
      <c r="BC73" s="111">
        <f t="shared" si="9"/>
        <v>7404.2963813900042</v>
      </c>
      <c r="BD73" s="111">
        <f t="shared" si="10"/>
        <v>11106.444572085007</v>
      </c>
    </row>
    <row r="74" spans="1:56" ht="15.75" x14ac:dyDescent="0.25">
      <c r="A74" s="53">
        <v>64</v>
      </c>
      <c r="B74" s="53"/>
      <c r="C74" s="53"/>
      <c r="D74" s="53" t="s">
        <v>135</v>
      </c>
      <c r="E74" s="53"/>
      <c r="F74" s="53"/>
      <c r="G74" s="53" t="s">
        <v>290</v>
      </c>
      <c r="H74" s="53" t="s">
        <v>291</v>
      </c>
      <c r="I74" s="85" t="s">
        <v>368</v>
      </c>
      <c r="J74" s="85" t="s">
        <v>369</v>
      </c>
      <c r="K74" s="85" t="s">
        <v>745</v>
      </c>
      <c r="L74" s="53" t="s">
        <v>216</v>
      </c>
      <c r="M74" s="53" t="s">
        <v>295</v>
      </c>
      <c r="N74" s="53"/>
      <c r="O74" s="85" t="s">
        <v>135</v>
      </c>
      <c r="P74" s="53">
        <v>1</v>
      </c>
      <c r="Q74" s="183">
        <v>5</v>
      </c>
      <c r="R74" s="84">
        <v>0.87050000000000005</v>
      </c>
      <c r="S74" s="53">
        <v>7.6</v>
      </c>
      <c r="T74" s="53"/>
      <c r="U74" s="53">
        <v>3</v>
      </c>
      <c r="V74" s="53">
        <v>480</v>
      </c>
      <c r="W74" s="53"/>
      <c r="X74" s="53"/>
      <c r="Y74" s="53"/>
      <c r="Z74" s="53"/>
      <c r="AA74" s="53"/>
      <c r="AB74" s="53"/>
      <c r="AC74" s="137" t="s">
        <v>124</v>
      </c>
      <c r="AD74" s="138" t="s">
        <v>118</v>
      </c>
      <c r="AE74" s="83">
        <v>8760</v>
      </c>
      <c r="AF74" s="139">
        <v>1</v>
      </c>
      <c r="AG74" s="139">
        <f t="shared" si="11"/>
        <v>0.82191780821917804</v>
      </c>
      <c r="AH74" s="139">
        <v>0.6</v>
      </c>
      <c r="AI74" s="139">
        <v>0.6</v>
      </c>
      <c r="AJ74" s="83">
        <f t="shared" si="1"/>
        <v>2880</v>
      </c>
      <c r="AK74" s="83">
        <f t="shared" si="2"/>
        <v>4320</v>
      </c>
      <c r="AL74" s="104">
        <f t="shared" si="3"/>
        <v>2.5709362435381959</v>
      </c>
      <c r="AM74" s="104">
        <f t="shared" si="4"/>
        <v>2.5709362435381959</v>
      </c>
      <c r="AN74" s="83">
        <f t="shared" si="5"/>
        <v>7404.2963813900042</v>
      </c>
      <c r="AO74" s="83">
        <f t="shared" si="6"/>
        <v>11106.444572085007</v>
      </c>
      <c r="AP74" s="182">
        <f t="shared" si="7"/>
        <v>25.264495854796088</v>
      </c>
      <c r="AQ74" s="182">
        <f t="shared" si="8"/>
        <v>37.896743782194136</v>
      </c>
      <c r="AR74" s="85"/>
      <c r="AS74" s="85"/>
      <c r="AT74" s="53"/>
      <c r="AU74" s="53"/>
      <c r="AV74" s="53"/>
      <c r="AW74" s="53"/>
      <c r="AX74" s="53"/>
      <c r="AY74" s="53"/>
      <c r="AZ74" s="53"/>
      <c r="BA74" s="53"/>
      <c r="BB74" s="53"/>
      <c r="BC74" s="111">
        <f t="shared" si="9"/>
        <v>7404.2963813900042</v>
      </c>
      <c r="BD74" s="111">
        <f t="shared" si="10"/>
        <v>11106.444572085007</v>
      </c>
    </row>
    <row r="75" spans="1:56" ht="15.75" x14ac:dyDescent="0.25">
      <c r="A75" s="53">
        <v>65</v>
      </c>
      <c r="B75" s="53"/>
      <c r="C75" s="53"/>
      <c r="D75" s="53" t="s">
        <v>135</v>
      </c>
      <c r="E75" s="53"/>
      <c r="F75" s="53"/>
      <c r="G75" s="53" t="s">
        <v>290</v>
      </c>
      <c r="H75" s="53" t="s">
        <v>291</v>
      </c>
      <c r="I75" s="85" t="s">
        <v>368</v>
      </c>
      <c r="J75" s="85" t="s">
        <v>369</v>
      </c>
      <c r="K75" s="85" t="s">
        <v>746</v>
      </c>
      <c r="L75" s="53" t="s">
        <v>216</v>
      </c>
      <c r="M75" s="53" t="s">
        <v>295</v>
      </c>
      <c r="N75" s="53"/>
      <c r="O75" s="85" t="s">
        <v>135</v>
      </c>
      <c r="P75" s="53">
        <v>1</v>
      </c>
      <c r="Q75" s="183">
        <v>5</v>
      </c>
      <c r="R75" s="84">
        <v>0.87050000000000005</v>
      </c>
      <c r="S75" s="53">
        <v>7.6</v>
      </c>
      <c r="T75" s="53"/>
      <c r="U75" s="53">
        <v>3</v>
      </c>
      <c r="V75" s="53">
        <v>480</v>
      </c>
      <c r="W75" s="53"/>
      <c r="X75" s="53"/>
      <c r="Y75" s="53"/>
      <c r="Z75" s="53"/>
      <c r="AA75" s="53"/>
      <c r="AB75" s="53"/>
      <c r="AC75" s="137" t="s">
        <v>124</v>
      </c>
      <c r="AD75" s="138" t="s">
        <v>118</v>
      </c>
      <c r="AE75" s="83">
        <v>8760</v>
      </c>
      <c r="AF75" s="139">
        <v>1</v>
      </c>
      <c r="AG75" s="139">
        <f t="shared" ref="AG75:AG106" si="12">$AB$7</f>
        <v>0.82191780821917804</v>
      </c>
      <c r="AH75" s="139">
        <v>0.6</v>
      </c>
      <c r="AI75" s="139">
        <v>0.6</v>
      </c>
      <c r="AJ75" s="83">
        <f t="shared" ref="AJ75:AJ138" si="13">$AE75*AG75*$AA$3</f>
        <v>2880</v>
      </c>
      <c r="AK75" s="83">
        <f t="shared" ref="AK75:AK138" si="14">$AE75*AG75*$AA$4</f>
        <v>4320</v>
      </c>
      <c r="AL75" s="104">
        <f t="shared" ref="AL75:AL138" si="15">IF($Q75&gt;0,((($P75*$Q75*$AP$2/$R75)*$AH75)),IF($U75=1,($AV75*$AF75*$AH75),((1.732*($V75/1000)*$S75*$AP$3*$AF75*$AH75*$P75))))</f>
        <v>2.5709362435381959</v>
      </c>
      <c r="AM75" s="104">
        <f t="shared" ref="AM75:AM138" si="16">IF($Q75&gt;0,((($P75*$Q75*$AP$2/$R75)*$AI75)),IF($U75=1,($AV75*$AF75*$AI75),((1.732*($V75/1000)*$S75*$AP$3*$AF75*$AI75*$P75))))</f>
        <v>2.5709362435381959</v>
      </c>
      <c r="AN75" s="83">
        <f t="shared" ref="AN75:AN138" si="17">AL75*AJ75</f>
        <v>7404.2963813900042</v>
      </c>
      <c r="AO75" s="83">
        <f t="shared" ref="AO75:AO138" si="18">AM75*AK75</f>
        <v>11106.444572085007</v>
      </c>
      <c r="AP75" s="182">
        <f t="shared" ref="AP75:AP138" si="19">AN75*$AP$7/1000000</f>
        <v>25.264495854796088</v>
      </c>
      <c r="AQ75" s="182">
        <f t="shared" ref="AQ75:AQ138" si="20">AO75*$AQ$7/1000000</f>
        <v>37.896743782194136</v>
      </c>
      <c r="AR75" s="85"/>
      <c r="AS75" s="85"/>
      <c r="AT75" s="53"/>
      <c r="AU75" s="53"/>
      <c r="AV75" s="53"/>
      <c r="AW75" s="53"/>
      <c r="AX75" s="53"/>
      <c r="AY75" s="53"/>
      <c r="AZ75" s="53"/>
      <c r="BA75" s="53"/>
      <c r="BB75" s="53"/>
      <c r="BC75" s="111">
        <f t="shared" ref="BC75:BC138" si="21">AN75</f>
        <v>7404.2963813900042</v>
      </c>
      <c r="BD75" s="111">
        <f t="shared" ref="BD75:BD138" si="22">AO75</f>
        <v>11106.444572085007</v>
      </c>
    </row>
    <row r="76" spans="1:56" ht="15.75" x14ac:dyDescent="0.25">
      <c r="A76" s="53">
        <v>66</v>
      </c>
      <c r="B76" s="53"/>
      <c r="C76" s="53"/>
      <c r="D76" s="53" t="s">
        <v>135</v>
      </c>
      <c r="E76" s="53"/>
      <c r="F76" s="53"/>
      <c r="G76" s="53" t="s">
        <v>290</v>
      </c>
      <c r="H76" s="53" t="s">
        <v>291</v>
      </c>
      <c r="I76" s="85" t="s">
        <v>366</v>
      </c>
      <c r="J76" s="85" t="s">
        <v>662</v>
      </c>
      <c r="K76" s="85" t="s">
        <v>294</v>
      </c>
      <c r="L76" s="53" t="s">
        <v>216</v>
      </c>
      <c r="M76" s="53" t="s">
        <v>295</v>
      </c>
      <c r="N76" s="53"/>
      <c r="O76" s="85" t="s">
        <v>135</v>
      </c>
      <c r="P76" s="53">
        <v>1</v>
      </c>
      <c r="Q76" s="183">
        <v>10</v>
      </c>
      <c r="R76" s="84">
        <v>0.87050000000000005</v>
      </c>
      <c r="S76" s="53">
        <v>14</v>
      </c>
      <c r="T76" s="53"/>
      <c r="U76" s="53">
        <v>3</v>
      </c>
      <c r="V76" s="53">
        <v>480</v>
      </c>
      <c r="W76" s="53"/>
      <c r="X76" s="53"/>
      <c r="Y76" s="53"/>
      <c r="Z76" s="53"/>
      <c r="AA76" s="53"/>
      <c r="AB76" s="53"/>
      <c r="AC76" s="137" t="s">
        <v>124</v>
      </c>
      <c r="AD76" s="138" t="s">
        <v>118</v>
      </c>
      <c r="AE76" s="83">
        <v>8760</v>
      </c>
      <c r="AF76" s="139">
        <v>1</v>
      </c>
      <c r="AG76" s="139">
        <f t="shared" si="12"/>
        <v>0.82191780821917804</v>
      </c>
      <c r="AH76" s="139">
        <v>0.6</v>
      </c>
      <c r="AI76" s="139">
        <v>0.6</v>
      </c>
      <c r="AJ76" s="83">
        <f t="shared" si="13"/>
        <v>2880</v>
      </c>
      <c r="AK76" s="83">
        <f t="shared" si="14"/>
        <v>4320</v>
      </c>
      <c r="AL76" s="104">
        <f t="shared" si="15"/>
        <v>5.1418724870763919</v>
      </c>
      <c r="AM76" s="104">
        <f t="shared" si="16"/>
        <v>5.1418724870763919</v>
      </c>
      <c r="AN76" s="83">
        <f t="shared" si="17"/>
        <v>14808.592762780008</v>
      </c>
      <c r="AO76" s="83">
        <f t="shared" si="18"/>
        <v>22212.889144170014</v>
      </c>
      <c r="AP76" s="182">
        <f t="shared" si="19"/>
        <v>50.528991709592177</v>
      </c>
      <c r="AQ76" s="182">
        <f t="shared" si="20"/>
        <v>75.793487564388272</v>
      </c>
      <c r="AR76" s="85"/>
      <c r="AS76" s="85"/>
      <c r="AT76" s="53"/>
      <c r="AU76" s="53"/>
      <c r="AV76" s="53"/>
      <c r="AW76" s="53"/>
      <c r="AX76" s="53"/>
      <c r="AY76" s="53"/>
      <c r="AZ76" s="53"/>
      <c r="BA76" s="53"/>
      <c r="BB76" s="53"/>
      <c r="BC76" s="111">
        <f t="shared" si="21"/>
        <v>14808.592762780008</v>
      </c>
      <c r="BD76" s="111">
        <f t="shared" si="22"/>
        <v>22212.889144170014</v>
      </c>
    </row>
    <row r="77" spans="1:56" ht="15.75" x14ac:dyDescent="0.25">
      <c r="A77" s="53">
        <v>67</v>
      </c>
      <c r="B77" s="53"/>
      <c r="C77" s="53"/>
      <c r="D77" s="53" t="s">
        <v>135</v>
      </c>
      <c r="E77" s="53"/>
      <c r="F77" s="53"/>
      <c r="G77" s="53" t="s">
        <v>290</v>
      </c>
      <c r="H77" s="53" t="s">
        <v>291</v>
      </c>
      <c r="I77" s="85" t="s">
        <v>366</v>
      </c>
      <c r="J77" s="85" t="s">
        <v>662</v>
      </c>
      <c r="K77" s="85" t="s">
        <v>365</v>
      </c>
      <c r="L77" s="53" t="s">
        <v>216</v>
      </c>
      <c r="M77" s="53" t="s">
        <v>295</v>
      </c>
      <c r="N77" s="53"/>
      <c r="O77" s="85" t="s">
        <v>135</v>
      </c>
      <c r="P77" s="53">
        <v>1</v>
      </c>
      <c r="Q77" s="183">
        <v>5</v>
      </c>
      <c r="R77" s="84">
        <v>0.87050000000000005</v>
      </c>
      <c r="S77" s="53">
        <v>7.6</v>
      </c>
      <c r="T77" s="53"/>
      <c r="U77" s="53">
        <v>3</v>
      </c>
      <c r="V77" s="53">
        <v>480</v>
      </c>
      <c r="W77" s="53"/>
      <c r="X77" s="53"/>
      <c r="Y77" s="53"/>
      <c r="Z77" s="53"/>
      <c r="AA77" s="53"/>
      <c r="AB77" s="53"/>
      <c r="AC77" s="137" t="s">
        <v>124</v>
      </c>
      <c r="AD77" s="138" t="s">
        <v>118</v>
      </c>
      <c r="AE77" s="83">
        <v>8760</v>
      </c>
      <c r="AF77" s="139">
        <v>1</v>
      </c>
      <c r="AG77" s="139">
        <f t="shared" si="12"/>
        <v>0.82191780821917804</v>
      </c>
      <c r="AH77" s="139">
        <v>0.6</v>
      </c>
      <c r="AI77" s="139">
        <v>0.6</v>
      </c>
      <c r="AJ77" s="83">
        <f t="shared" si="13"/>
        <v>2880</v>
      </c>
      <c r="AK77" s="83">
        <f t="shared" si="14"/>
        <v>4320</v>
      </c>
      <c r="AL77" s="104">
        <f t="shared" si="15"/>
        <v>2.5709362435381959</v>
      </c>
      <c r="AM77" s="104">
        <f t="shared" si="16"/>
        <v>2.5709362435381959</v>
      </c>
      <c r="AN77" s="83">
        <f t="shared" si="17"/>
        <v>7404.2963813900042</v>
      </c>
      <c r="AO77" s="83">
        <f t="shared" si="18"/>
        <v>11106.444572085007</v>
      </c>
      <c r="AP77" s="182">
        <f t="shared" si="19"/>
        <v>25.264495854796088</v>
      </c>
      <c r="AQ77" s="182">
        <f t="shared" si="20"/>
        <v>37.896743782194136</v>
      </c>
      <c r="AR77" s="85"/>
      <c r="AS77" s="85"/>
      <c r="AT77" s="53"/>
      <c r="AU77" s="53"/>
      <c r="AV77" s="53"/>
      <c r="AW77" s="53"/>
      <c r="AX77" s="53"/>
      <c r="AY77" s="53"/>
      <c r="AZ77" s="53"/>
      <c r="BA77" s="53"/>
      <c r="BB77" s="53"/>
      <c r="BC77" s="111">
        <f t="shared" si="21"/>
        <v>7404.2963813900042</v>
      </c>
      <c r="BD77" s="111">
        <f t="shared" si="22"/>
        <v>11106.444572085007</v>
      </c>
    </row>
    <row r="78" spans="1:56" ht="15.75" x14ac:dyDescent="0.25">
      <c r="A78" s="53">
        <v>68</v>
      </c>
      <c r="B78" s="53"/>
      <c r="C78" s="53"/>
      <c r="D78" s="53" t="s">
        <v>135</v>
      </c>
      <c r="E78" s="53"/>
      <c r="F78" s="53"/>
      <c r="G78" s="53" t="s">
        <v>290</v>
      </c>
      <c r="H78" s="53" t="s">
        <v>291</v>
      </c>
      <c r="I78" s="85" t="s">
        <v>366</v>
      </c>
      <c r="J78" s="85" t="s">
        <v>662</v>
      </c>
      <c r="K78" s="85" t="s">
        <v>742</v>
      </c>
      <c r="L78" s="53" t="s">
        <v>216</v>
      </c>
      <c r="M78" s="53" t="s">
        <v>295</v>
      </c>
      <c r="N78" s="53"/>
      <c r="O78" s="85" t="s">
        <v>135</v>
      </c>
      <c r="P78" s="53">
        <v>1</v>
      </c>
      <c r="Q78" s="183">
        <v>5</v>
      </c>
      <c r="R78" s="84">
        <v>0.87050000000000005</v>
      </c>
      <c r="S78" s="53">
        <v>7.6</v>
      </c>
      <c r="T78" s="53"/>
      <c r="U78" s="53">
        <v>3</v>
      </c>
      <c r="V78" s="53">
        <v>480</v>
      </c>
      <c r="W78" s="53"/>
      <c r="X78" s="53"/>
      <c r="Y78" s="53"/>
      <c r="Z78" s="53"/>
      <c r="AA78" s="53"/>
      <c r="AB78" s="53"/>
      <c r="AC78" s="137" t="s">
        <v>124</v>
      </c>
      <c r="AD78" s="138" t="s">
        <v>118</v>
      </c>
      <c r="AE78" s="83">
        <v>8760</v>
      </c>
      <c r="AF78" s="139">
        <v>1</v>
      </c>
      <c r="AG78" s="139">
        <f t="shared" si="12"/>
        <v>0.82191780821917804</v>
      </c>
      <c r="AH78" s="139">
        <v>0.6</v>
      </c>
      <c r="AI78" s="139">
        <v>0.6</v>
      </c>
      <c r="AJ78" s="83">
        <f t="shared" si="13"/>
        <v>2880</v>
      </c>
      <c r="AK78" s="83">
        <f t="shared" si="14"/>
        <v>4320</v>
      </c>
      <c r="AL78" s="104">
        <f t="shared" si="15"/>
        <v>2.5709362435381959</v>
      </c>
      <c r="AM78" s="104">
        <f t="shared" si="16"/>
        <v>2.5709362435381959</v>
      </c>
      <c r="AN78" s="83">
        <f t="shared" si="17"/>
        <v>7404.2963813900042</v>
      </c>
      <c r="AO78" s="83">
        <f t="shared" si="18"/>
        <v>11106.444572085007</v>
      </c>
      <c r="AP78" s="182">
        <f t="shared" si="19"/>
        <v>25.264495854796088</v>
      </c>
      <c r="AQ78" s="182">
        <f t="shared" si="20"/>
        <v>37.896743782194136</v>
      </c>
      <c r="AR78" s="85"/>
      <c r="AS78" s="85"/>
      <c r="AT78" s="53"/>
      <c r="AU78" s="53"/>
      <c r="AV78" s="53"/>
      <c r="AW78" s="53"/>
      <c r="AX78" s="53"/>
      <c r="AY78" s="53"/>
      <c r="AZ78" s="53"/>
      <c r="BA78" s="53"/>
      <c r="BB78" s="53"/>
      <c r="BC78" s="111">
        <f t="shared" si="21"/>
        <v>7404.2963813900042</v>
      </c>
      <c r="BD78" s="111">
        <f t="shared" si="22"/>
        <v>11106.444572085007</v>
      </c>
    </row>
    <row r="79" spans="1:56" ht="15.75" x14ac:dyDescent="0.25">
      <c r="A79" s="53">
        <v>69</v>
      </c>
      <c r="B79" s="53"/>
      <c r="C79" s="53"/>
      <c r="D79" s="53" t="s">
        <v>135</v>
      </c>
      <c r="E79" s="53"/>
      <c r="F79" s="53"/>
      <c r="G79" s="53" t="s">
        <v>290</v>
      </c>
      <c r="H79" s="53" t="s">
        <v>291</v>
      </c>
      <c r="I79" s="85" t="s">
        <v>358</v>
      </c>
      <c r="J79" s="85" t="s">
        <v>359</v>
      </c>
      <c r="K79" s="85" t="s">
        <v>365</v>
      </c>
      <c r="L79" s="53" t="s">
        <v>216</v>
      </c>
      <c r="M79" s="53" t="s">
        <v>295</v>
      </c>
      <c r="N79" s="53"/>
      <c r="O79" s="85" t="s">
        <v>612</v>
      </c>
      <c r="P79" s="53">
        <v>1</v>
      </c>
      <c r="Q79" s="183">
        <v>10</v>
      </c>
      <c r="R79" s="84">
        <v>0.87050000000000005</v>
      </c>
      <c r="S79" s="53">
        <v>14</v>
      </c>
      <c r="T79" s="53"/>
      <c r="U79" s="53">
        <v>3</v>
      </c>
      <c r="V79" s="53">
        <v>480</v>
      </c>
      <c r="W79" s="53"/>
      <c r="X79" s="53"/>
      <c r="Y79" s="53"/>
      <c r="Z79" s="53"/>
      <c r="AA79" s="53"/>
      <c r="AB79" s="53"/>
      <c r="AC79" s="137" t="s">
        <v>124</v>
      </c>
      <c r="AD79" s="138" t="s">
        <v>118</v>
      </c>
      <c r="AE79" s="83">
        <v>8760</v>
      </c>
      <c r="AF79" s="139">
        <v>1</v>
      </c>
      <c r="AG79" s="139">
        <f t="shared" si="12"/>
        <v>0.82191780821917804</v>
      </c>
      <c r="AH79" s="139">
        <v>0.6</v>
      </c>
      <c r="AI79" s="139">
        <v>0.6</v>
      </c>
      <c r="AJ79" s="83">
        <f t="shared" si="13"/>
        <v>2880</v>
      </c>
      <c r="AK79" s="83">
        <f t="shared" si="14"/>
        <v>4320</v>
      </c>
      <c r="AL79" s="104">
        <f t="shared" si="15"/>
        <v>5.1418724870763919</v>
      </c>
      <c r="AM79" s="104">
        <f t="shared" si="16"/>
        <v>5.1418724870763919</v>
      </c>
      <c r="AN79" s="83">
        <f t="shared" si="17"/>
        <v>14808.592762780008</v>
      </c>
      <c r="AO79" s="83">
        <f t="shared" si="18"/>
        <v>22212.889144170014</v>
      </c>
      <c r="AP79" s="182">
        <f t="shared" si="19"/>
        <v>50.528991709592177</v>
      </c>
      <c r="AQ79" s="182">
        <f t="shared" si="20"/>
        <v>75.793487564388272</v>
      </c>
      <c r="AR79" s="85"/>
      <c r="AS79" s="85"/>
      <c r="AT79" s="53"/>
      <c r="AU79" s="53"/>
      <c r="AV79" s="107"/>
      <c r="AW79" s="53"/>
      <c r="AX79" s="53"/>
      <c r="AY79" s="53"/>
      <c r="AZ79" s="53"/>
      <c r="BA79" s="53"/>
      <c r="BB79" s="53"/>
      <c r="BC79" s="111">
        <f t="shared" si="21"/>
        <v>14808.592762780008</v>
      </c>
      <c r="BD79" s="111">
        <f t="shared" si="22"/>
        <v>22212.889144170014</v>
      </c>
    </row>
    <row r="80" spans="1:56" ht="15.75" x14ac:dyDescent="0.25">
      <c r="A80" s="53">
        <v>70</v>
      </c>
      <c r="B80" s="53"/>
      <c r="C80" s="53"/>
      <c r="D80" s="53" t="s">
        <v>135</v>
      </c>
      <c r="E80" s="53"/>
      <c r="F80" s="53"/>
      <c r="G80" s="53" t="s">
        <v>290</v>
      </c>
      <c r="H80" s="53" t="s">
        <v>291</v>
      </c>
      <c r="I80" s="85" t="s">
        <v>358</v>
      </c>
      <c r="J80" s="85" t="s">
        <v>359</v>
      </c>
      <c r="K80" s="85" t="s">
        <v>365</v>
      </c>
      <c r="L80" s="53" t="s">
        <v>216</v>
      </c>
      <c r="M80" s="53" t="s">
        <v>295</v>
      </c>
      <c r="N80" s="53"/>
      <c r="O80" s="85" t="s">
        <v>613</v>
      </c>
      <c r="P80" s="53">
        <v>1</v>
      </c>
      <c r="Q80" s="183">
        <v>10</v>
      </c>
      <c r="R80" s="84">
        <v>0.87050000000000005</v>
      </c>
      <c r="S80" s="53">
        <v>14</v>
      </c>
      <c r="T80" s="53"/>
      <c r="U80" s="53">
        <v>3</v>
      </c>
      <c r="V80" s="53">
        <v>480</v>
      </c>
      <c r="W80" s="53"/>
      <c r="X80" s="53"/>
      <c r="Y80" s="53"/>
      <c r="Z80" s="53"/>
      <c r="AA80" s="53"/>
      <c r="AB80" s="53"/>
      <c r="AC80" s="137" t="s">
        <v>124</v>
      </c>
      <c r="AD80" s="138" t="s">
        <v>118</v>
      </c>
      <c r="AE80" s="83">
        <v>8760</v>
      </c>
      <c r="AF80" s="139">
        <v>1</v>
      </c>
      <c r="AG80" s="139">
        <f t="shared" si="12"/>
        <v>0.82191780821917804</v>
      </c>
      <c r="AH80" s="139">
        <v>0.6</v>
      </c>
      <c r="AI80" s="139">
        <v>0.6</v>
      </c>
      <c r="AJ80" s="83">
        <f t="shared" si="13"/>
        <v>2880</v>
      </c>
      <c r="AK80" s="83">
        <f t="shared" si="14"/>
        <v>4320</v>
      </c>
      <c r="AL80" s="104">
        <f t="shared" si="15"/>
        <v>5.1418724870763919</v>
      </c>
      <c r="AM80" s="104">
        <f t="shared" si="16"/>
        <v>5.1418724870763919</v>
      </c>
      <c r="AN80" s="83">
        <f t="shared" si="17"/>
        <v>14808.592762780008</v>
      </c>
      <c r="AO80" s="83">
        <f t="shared" si="18"/>
        <v>22212.889144170014</v>
      </c>
      <c r="AP80" s="182">
        <f t="shared" si="19"/>
        <v>50.528991709592177</v>
      </c>
      <c r="AQ80" s="182">
        <f t="shared" si="20"/>
        <v>75.793487564388272</v>
      </c>
      <c r="AR80" s="85"/>
      <c r="AS80" s="85"/>
      <c r="AT80" s="53"/>
      <c r="AU80" s="53"/>
      <c r="AV80" s="53"/>
      <c r="AW80" s="53"/>
      <c r="AX80" s="53"/>
      <c r="AY80" s="53"/>
      <c r="AZ80" s="53"/>
      <c r="BA80" s="53"/>
      <c r="BB80" s="53"/>
      <c r="BC80" s="111">
        <f t="shared" si="21"/>
        <v>14808.592762780008</v>
      </c>
      <c r="BD80" s="111">
        <f t="shared" si="22"/>
        <v>22212.889144170014</v>
      </c>
    </row>
    <row r="81" spans="1:56" ht="15.75" x14ac:dyDescent="0.25">
      <c r="A81" s="53">
        <v>71</v>
      </c>
      <c r="B81" s="53"/>
      <c r="C81" s="53"/>
      <c r="D81" s="53" t="s">
        <v>135</v>
      </c>
      <c r="E81" s="53"/>
      <c r="F81" s="53"/>
      <c r="G81" s="53" t="s">
        <v>290</v>
      </c>
      <c r="H81" s="53" t="s">
        <v>291</v>
      </c>
      <c r="I81" s="85" t="s">
        <v>358</v>
      </c>
      <c r="J81" s="85" t="s">
        <v>359</v>
      </c>
      <c r="K81" s="85" t="s">
        <v>365</v>
      </c>
      <c r="L81" s="53" t="s">
        <v>216</v>
      </c>
      <c r="M81" s="53" t="s">
        <v>295</v>
      </c>
      <c r="N81" s="53"/>
      <c r="O81" s="85" t="s">
        <v>614</v>
      </c>
      <c r="P81" s="53">
        <v>1</v>
      </c>
      <c r="Q81" s="183">
        <v>10</v>
      </c>
      <c r="R81" s="84">
        <v>0.87050000000000005</v>
      </c>
      <c r="S81" s="53">
        <v>14</v>
      </c>
      <c r="T81" s="53"/>
      <c r="U81" s="53">
        <v>3</v>
      </c>
      <c r="V81" s="53">
        <v>480</v>
      </c>
      <c r="W81" s="53"/>
      <c r="X81" s="53"/>
      <c r="Y81" s="53"/>
      <c r="Z81" s="53"/>
      <c r="AA81" s="53"/>
      <c r="AB81" s="53"/>
      <c r="AC81" s="137" t="s">
        <v>124</v>
      </c>
      <c r="AD81" s="138" t="s">
        <v>118</v>
      </c>
      <c r="AE81" s="83">
        <v>8760</v>
      </c>
      <c r="AF81" s="139">
        <v>1</v>
      </c>
      <c r="AG81" s="139">
        <f t="shared" si="12"/>
        <v>0.82191780821917804</v>
      </c>
      <c r="AH81" s="139">
        <v>0.6</v>
      </c>
      <c r="AI81" s="139">
        <v>0.6</v>
      </c>
      <c r="AJ81" s="83">
        <f t="shared" si="13"/>
        <v>2880</v>
      </c>
      <c r="AK81" s="83">
        <f t="shared" si="14"/>
        <v>4320</v>
      </c>
      <c r="AL81" s="104">
        <f t="shared" si="15"/>
        <v>5.1418724870763919</v>
      </c>
      <c r="AM81" s="104">
        <f t="shared" si="16"/>
        <v>5.1418724870763919</v>
      </c>
      <c r="AN81" s="83">
        <f t="shared" si="17"/>
        <v>14808.592762780008</v>
      </c>
      <c r="AO81" s="83">
        <f t="shared" si="18"/>
        <v>22212.889144170014</v>
      </c>
      <c r="AP81" s="182">
        <f t="shared" si="19"/>
        <v>50.528991709592177</v>
      </c>
      <c r="AQ81" s="182">
        <f t="shared" si="20"/>
        <v>75.793487564388272</v>
      </c>
      <c r="AR81" s="85"/>
      <c r="AS81" s="85"/>
      <c r="AT81" s="53"/>
      <c r="AU81" s="53"/>
      <c r="AV81" s="53"/>
      <c r="AW81" s="53"/>
      <c r="AX81" s="53"/>
      <c r="AY81" s="53"/>
      <c r="AZ81" s="53"/>
      <c r="BA81" s="53"/>
      <c r="BB81" s="53"/>
      <c r="BC81" s="111">
        <f t="shared" si="21"/>
        <v>14808.592762780008</v>
      </c>
      <c r="BD81" s="111">
        <f t="shared" si="22"/>
        <v>22212.889144170014</v>
      </c>
    </row>
    <row r="82" spans="1:56" ht="15.75" x14ac:dyDescent="0.25">
      <c r="A82" s="53">
        <v>72</v>
      </c>
      <c r="B82" s="53"/>
      <c r="C82" s="53"/>
      <c r="D82" s="53" t="s">
        <v>135</v>
      </c>
      <c r="E82" s="53"/>
      <c r="F82" s="53"/>
      <c r="G82" s="53" t="s">
        <v>290</v>
      </c>
      <c r="H82" s="53" t="s">
        <v>291</v>
      </c>
      <c r="I82" s="85" t="s">
        <v>358</v>
      </c>
      <c r="J82" s="85" t="s">
        <v>359</v>
      </c>
      <c r="K82" s="85" t="s">
        <v>365</v>
      </c>
      <c r="L82" s="53" t="s">
        <v>216</v>
      </c>
      <c r="M82" s="53" t="s">
        <v>295</v>
      </c>
      <c r="N82" s="53"/>
      <c r="O82" s="85" t="s">
        <v>615</v>
      </c>
      <c r="P82" s="53">
        <v>1</v>
      </c>
      <c r="Q82" s="183">
        <v>10</v>
      </c>
      <c r="R82" s="84">
        <v>0.87050000000000005</v>
      </c>
      <c r="S82" s="53">
        <v>14</v>
      </c>
      <c r="T82" s="53"/>
      <c r="U82" s="53">
        <v>3</v>
      </c>
      <c r="V82" s="53">
        <v>480</v>
      </c>
      <c r="W82" s="53"/>
      <c r="X82" s="53"/>
      <c r="Y82" s="53"/>
      <c r="Z82" s="53"/>
      <c r="AA82" s="53"/>
      <c r="AB82" s="53"/>
      <c r="AC82" s="137" t="s">
        <v>124</v>
      </c>
      <c r="AD82" s="138" t="s">
        <v>118</v>
      </c>
      <c r="AE82" s="83">
        <v>8760</v>
      </c>
      <c r="AF82" s="139">
        <v>1</v>
      </c>
      <c r="AG82" s="139">
        <f t="shared" si="12"/>
        <v>0.82191780821917804</v>
      </c>
      <c r="AH82" s="139">
        <v>0.6</v>
      </c>
      <c r="AI82" s="139">
        <v>0.6</v>
      </c>
      <c r="AJ82" s="83">
        <f t="shared" si="13"/>
        <v>2880</v>
      </c>
      <c r="AK82" s="83">
        <f t="shared" si="14"/>
        <v>4320</v>
      </c>
      <c r="AL82" s="104">
        <f t="shared" si="15"/>
        <v>5.1418724870763919</v>
      </c>
      <c r="AM82" s="104">
        <f t="shared" si="16"/>
        <v>5.1418724870763919</v>
      </c>
      <c r="AN82" s="83">
        <f t="shared" si="17"/>
        <v>14808.592762780008</v>
      </c>
      <c r="AO82" s="83">
        <f t="shared" si="18"/>
        <v>22212.889144170014</v>
      </c>
      <c r="AP82" s="182">
        <f t="shared" si="19"/>
        <v>50.528991709592177</v>
      </c>
      <c r="AQ82" s="182">
        <f t="shared" si="20"/>
        <v>75.793487564388272</v>
      </c>
      <c r="AR82" s="85"/>
      <c r="AS82" s="85"/>
      <c r="AT82" s="53"/>
      <c r="AU82" s="53"/>
      <c r="AV82" s="53"/>
      <c r="AW82" s="53"/>
      <c r="AX82" s="53"/>
      <c r="AY82" s="53"/>
      <c r="AZ82" s="53"/>
      <c r="BA82" s="53"/>
      <c r="BB82" s="53"/>
      <c r="BC82" s="111">
        <f t="shared" si="21"/>
        <v>14808.592762780008</v>
      </c>
      <c r="BD82" s="111">
        <f t="shared" si="22"/>
        <v>22212.889144170014</v>
      </c>
    </row>
    <row r="83" spans="1:56" ht="15.75" x14ac:dyDescent="0.25">
      <c r="A83" s="53">
        <v>73</v>
      </c>
      <c r="B83" s="53"/>
      <c r="C83" s="53"/>
      <c r="D83" s="53" t="s">
        <v>135</v>
      </c>
      <c r="E83" s="53"/>
      <c r="F83" s="53"/>
      <c r="G83" s="53" t="s">
        <v>290</v>
      </c>
      <c r="H83" s="53" t="s">
        <v>291</v>
      </c>
      <c r="I83" s="85" t="s">
        <v>358</v>
      </c>
      <c r="J83" s="85" t="s">
        <v>359</v>
      </c>
      <c r="K83" s="85" t="s">
        <v>360</v>
      </c>
      <c r="L83" s="53" t="s">
        <v>216</v>
      </c>
      <c r="M83" s="53" t="s">
        <v>361</v>
      </c>
      <c r="N83" s="53"/>
      <c r="O83" s="85" t="s">
        <v>135</v>
      </c>
      <c r="P83" s="53">
        <v>1</v>
      </c>
      <c r="Q83" s="183">
        <v>50</v>
      </c>
      <c r="R83" s="84">
        <v>0.89250000000000007</v>
      </c>
      <c r="S83" s="53">
        <v>62</v>
      </c>
      <c r="T83" s="53"/>
      <c r="U83" s="53">
        <v>3</v>
      </c>
      <c r="V83" s="53">
        <v>480</v>
      </c>
      <c r="W83" s="53"/>
      <c r="X83" s="53"/>
      <c r="Y83" s="53"/>
      <c r="Z83" s="53"/>
      <c r="AA83" s="53"/>
      <c r="AB83" s="53"/>
      <c r="AC83" s="137" t="s">
        <v>124</v>
      </c>
      <c r="AD83" s="138" t="s">
        <v>118</v>
      </c>
      <c r="AE83" s="83">
        <v>8760</v>
      </c>
      <c r="AF83" s="139">
        <v>1</v>
      </c>
      <c r="AG83" s="139">
        <f t="shared" si="12"/>
        <v>0.82191780821917804</v>
      </c>
      <c r="AH83" s="139">
        <v>0.75</v>
      </c>
      <c r="AI83" s="139">
        <v>0.75</v>
      </c>
      <c r="AJ83" s="83">
        <f t="shared" si="13"/>
        <v>2880</v>
      </c>
      <c r="AK83" s="83">
        <f t="shared" si="14"/>
        <v>4320</v>
      </c>
      <c r="AL83" s="104">
        <f t="shared" si="15"/>
        <v>31.344537815126046</v>
      </c>
      <c r="AM83" s="104">
        <f t="shared" si="16"/>
        <v>31.344537815126046</v>
      </c>
      <c r="AN83" s="83">
        <f t="shared" si="17"/>
        <v>90272.268907563004</v>
      </c>
      <c r="AO83" s="83">
        <f t="shared" si="18"/>
        <v>135408.40336134451</v>
      </c>
      <c r="AP83" s="182">
        <f t="shared" si="19"/>
        <v>308.02161963025202</v>
      </c>
      <c r="AQ83" s="182">
        <f t="shared" si="20"/>
        <v>462.032429445378</v>
      </c>
      <c r="AR83" s="85"/>
      <c r="AS83" s="85"/>
      <c r="AT83" s="53"/>
      <c r="AU83" s="53"/>
      <c r="AV83" s="53"/>
      <c r="AW83" s="53"/>
      <c r="AX83" s="53"/>
      <c r="AY83" s="53"/>
      <c r="AZ83" s="53"/>
      <c r="BA83" s="53"/>
      <c r="BB83" s="53"/>
      <c r="BC83" s="111">
        <f t="shared" si="21"/>
        <v>90272.268907563004</v>
      </c>
      <c r="BD83" s="111">
        <f t="shared" si="22"/>
        <v>135408.40336134451</v>
      </c>
    </row>
    <row r="84" spans="1:56" ht="15.75" x14ac:dyDescent="0.25">
      <c r="A84" s="53">
        <v>74</v>
      </c>
      <c r="B84" s="53"/>
      <c r="C84" s="53"/>
      <c r="D84" s="53" t="s">
        <v>135</v>
      </c>
      <c r="E84" s="53"/>
      <c r="F84" s="53"/>
      <c r="G84" s="53" t="s">
        <v>290</v>
      </c>
      <c r="H84" s="53" t="s">
        <v>291</v>
      </c>
      <c r="I84" s="85" t="s">
        <v>477</v>
      </c>
      <c r="J84" s="85" t="s">
        <v>423</v>
      </c>
      <c r="K84" s="85" t="s">
        <v>365</v>
      </c>
      <c r="L84" s="53" t="s">
        <v>216</v>
      </c>
      <c r="M84" s="53" t="s">
        <v>295</v>
      </c>
      <c r="N84" s="53"/>
      <c r="O84" s="85" t="s">
        <v>676</v>
      </c>
      <c r="P84" s="53">
        <v>1</v>
      </c>
      <c r="Q84" s="183">
        <v>7.5</v>
      </c>
      <c r="R84" s="84">
        <v>0.87050000000000005</v>
      </c>
      <c r="S84" s="53">
        <v>9.5</v>
      </c>
      <c r="T84" s="53"/>
      <c r="U84" s="53">
        <v>3</v>
      </c>
      <c r="V84" s="53">
        <v>480</v>
      </c>
      <c r="W84" s="53"/>
      <c r="X84" s="53"/>
      <c r="Y84" s="53"/>
      <c r="Z84" s="53"/>
      <c r="AA84" s="53"/>
      <c r="AB84" s="53"/>
      <c r="AC84" s="137" t="s">
        <v>124</v>
      </c>
      <c r="AD84" s="138" t="s">
        <v>118</v>
      </c>
      <c r="AE84" s="83">
        <v>8760</v>
      </c>
      <c r="AF84" s="139">
        <v>1</v>
      </c>
      <c r="AG84" s="139">
        <f t="shared" si="12"/>
        <v>0.82191780821917804</v>
      </c>
      <c r="AH84" s="139">
        <v>0.6</v>
      </c>
      <c r="AI84" s="139">
        <v>0.6</v>
      </c>
      <c r="AJ84" s="83">
        <f t="shared" si="13"/>
        <v>2880</v>
      </c>
      <c r="AK84" s="83">
        <f t="shared" si="14"/>
        <v>4320</v>
      </c>
      <c r="AL84" s="104">
        <f t="shared" si="15"/>
        <v>3.8564043653072941</v>
      </c>
      <c r="AM84" s="104">
        <f t="shared" si="16"/>
        <v>3.8564043653072941</v>
      </c>
      <c r="AN84" s="83">
        <f t="shared" si="17"/>
        <v>11106.444572085007</v>
      </c>
      <c r="AO84" s="83">
        <f t="shared" si="18"/>
        <v>16659.666858127512</v>
      </c>
      <c r="AP84" s="182">
        <f t="shared" si="19"/>
        <v>37.896743782194136</v>
      </c>
      <c r="AQ84" s="182">
        <f t="shared" si="20"/>
        <v>56.845115673291204</v>
      </c>
      <c r="AR84" s="85"/>
      <c r="AS84" s="85"/>
      <c r="AT84" s="53"/>
      <c r="AU84" s="53"/>
      <c r="AV84" s="53"/>
      <c r="AW84" s="53"/>
      <c r="AX84" s="53"/>
      <c r="AY84" s="53"/>
      <c r="AZ84" s="53"/>
      <c r="BA84" s="53"/>
      <c r="BB84" s="53"/>
      <c r="BC84" s="111">
        <f t="shared" si="21"/>
        <v>11106.444572085007</v>
      </c>
      <c r="BD84" s="111">
        <f t="shared" si="22"/>
        <v>16659.666858127512</v>
      </c>
    </row>
    <row r="85" spans="1:56" ht="15.75" x14ac:dyDescent="0.25">
      <c r="A85" s="53">
        <v>75</v>
      </c>
      <c r="B85" s="53"/>
      <c r="C85" s="53"/>
      <c r="D85" s="53" t="s">
        <v>135</v>
      </c>
      <c r="E85" s="53"/>
      <c r="F85" s="53"/>
      <c r="G85" s="53" t="s">
        <v>290</v>
      </c>
      <c r="H85" s="53" t="s">
        <v>291</v>
      </c>
      <c r="I85" s="85" t="s">
        <v>477</v>
      </c>
      <c r="J85" s="85" t="s">
        <v>423</v>
      </c>
      <c r="K85" s="85" t="s">
        <v>360</v>
      </c>
      <c r="L85" s="53" t="s">
        <v>216</v>
      </c>
      <c r="M85" s="53" t="s">
        <v>361</v>
      </c>
      <c r="N85" s="53"/>
      <c r="O85" s="85" t="s">
        <v>135</v>
      </c>
      <c r="P85" s="53">
        <v>1</v>
      </c>
      <c r="Q85" s="183">
        <v>25</v>
      </c>
      <c r="R85" s="84">
        <v>0.90050000000000008</v>
      </c>
      <c r="S85" s="53">
        <v>34</v>
      </c>
      <c r="T85" s="53"/>
      <c r="U85" s="53">
        <v>3</v>
      </c>
      <c r="V85" s="53">
        <v>480</v>
      </c>
      <c r="W85" s="53"/>
      <c r="X85" s="53"/>
      <c r="Y85" s="53"/>
      <c r="Z85" s="53"/>
      <c r="AA85" s="53"/>
      <c r="AB85" s="53"/>
      <c r="AC85" s="137" t="s">
        <v>124</v>
      </c>
      <c r="AD85" s="138" t="s">
        <v>118</v>
      </c>
      <c r="AE85" s="83">
        <v>8760</v>
      </c>
      <c r="AF85" s="139">
        <v>1</v>
      </c>
      <c r="AG85" s="139">
        <f t="shared" si="12"/>
        <v>0.82191780821917804</v>
      </c>
      <c r="AH85" s="139">
        <v>0.75</v>
      </c>
      <c r="AI85" s="139">
        <v>0.75</v>
      </c>
      <c r="AJ85" s="83">
        <f t="shared" si="13"/>
        <v>2880</v>
      </c>
      <c r="AK85" s="83">
        <f t="shared" si="14"/>
        <v>4320</v>
      </c>
      <c r="AL85" s="104">
        <f t="shared" si="15"/>
        <v>15.533037201554688</v>
      </c>
      <c r="AM85" s="104">
        <f t="shared" si="16"/>
        <v>15.533037201554688</v>
      </c>
      <c r="AN85" s="83">
        <f t="shared" si="17"/>
        <v>44735.1471404775</v>
      </c>
      <c r="AO85" s="83">
        <f t="shared" si="18"/>
        <v>67102.720710716254</v>
      </c>
      <c r="AP85" s="182">
        <f t="shared" si="19"/>
        <v>152.64258496390889</v>
      </c>
      <c r="AQ85" s="182">
        <f t="shared" si="20"/>
        <v>228.96387744586335</v>
      </c>
      <c r="AR85" s="85"/>
      <c r="AS85" s="85"/>
      <c r="AT85" s="53"/>
      <c r="AU85" s="53"/>
      <c r="AV85" s="53"/>
      <c r="AW85" s="53"/>
      <c r="AX85" s="53"/>
      <c r="AY85" s="53"/>
      <c r="AZ85" s="53"/>
      <c r="BA85" s="53"/>
      <c r="BB85" s="53"/>
      <c r="BC85" s="111">
        <f t="shared" si="21"/>
        <v>44735.1471404775</v>
      </c>
      <c r="BD85" s="111">
        <f t="shared" si="22"/>
        <v>67102.720710716254</v>
      </c>
    </row>
    <row r="86" spans="1:56" ht="15.75" x14ac:dyDescent="0.25">
      <c r="A86" s="53">
        <v>76</v>
      </c>
      <c r="B86" s="53"/>
      <c r="C86" s="53"/>
      <c r="D86" s="53" t="s">
        <v>135</v>
      </c>
      <c r="E86" s="53"/>
      <c r="F86" s="53"/>
      <c r="G86" s="53" t="s">
        <v>290</v>
      </c>
      <c r="H86" s="53" t="s">
        <v>291</v>
      </c>
      <c r="I86" s="85" t="s">
        <v>554</v>
      </c>
      <c r="J86" s="85" t="s">
        <v>555</v>
      </c>
      <c r="K86" s="85" t="s">
        <v>365</v>
      </c>
      <c r="L86" s="53" t="s">
        <v>216</v>
      </c>
      <c r="M86" s="53" t="s">
        <v>295</v>
      </c>
      <c r="N86" s="53"/>
      <c r="O86" s="85" t="s">
        <v>616</v>
      </c>
      <c r="P86" s="53">
        <v>1</v>
      </c>
      <c r="Q86" s="183">
        <v>10</v>
      </c>
      <c r="R86" s="84">
        <v>0.87050000000000005</v>
      </c>
      <c r="S86" s="53">
        <v>14</v>
      </c>
      <c r="T86" s="53"/>
      <c r="U86" s="53">
        <v>3</v>
      </c>
      <c r="V86" s="53">
        <v>480</v>
      </c>
      <c r="W86" s="53"/>
      <c r="X86" s="53"/>
      <c r="Y86" s="53"/>
      <c r="Z86" s="53"/>
      <c r="AA86" s="53"/>
      <c r="AB86" s="53"/>
      <c r="AC86" s="137" t="s">
        <v>124</v>
      </c>
      <c r="AD86" s="138" t="s">
        <v>118</v>
      </c>
      <c r="AE86" s="83">
        <v>8760</v>
      </c>
      <c r="AF86" s="139">
        <v>1</v>
      </c>
      <c r="AG86" s="139">
        <f t="shared" si="12"/>
        <v>0.82191780821917804</v>
      </c>
      <c r="AH86" s="139">
        <v>0.6</v>
      </c>
      <c r="AI86" s="139">
        <v>0.6</v>
      </c>
      <c r="AJ86" s="83">
        <f t="shared" si="13"/>
        <v>2880</v>
      </c>
      <c r="AK86" s="83">
        <f t="shared" si="14"/>
        <v>4320</v>
      </c>
      <c r="AL86" s="104">
        <f t="shared" si="15"/>
        <v>5.1418724870763919</v>
      </c>
      <c r="AM86" s="104">
        <f t="shared" si="16"/>
        <v>5.1418724870763919</v>
      </c>
      <c r="AN86" s="83">
        <f t="shared" si="17"/>
        <v>14808.592762780008</v>
      </c>
      <c r="AO86" s="83">
        <f t="shared" si="18"/>
        <v>22212.889144170014</v>
      </c>
      <c r="AP86" s="182">
        <f t="shared" si="19"/>
        <v>50.528991709592177</v>
      </c>
      <c r="AQ86" s="182">
        <f t="shared" si="20"/>
        <v>75.793487564388272</v>
      </c>
      <c r="AR86" s="85"/>
      <c r="AS86" s="85"/>
      <c r="AT86" s="53"/>
      <c r="AU86" s="53"/>
      <c r="AV86" s="53"/>
      <c r="AW86" s="53"/>
      <c r="AX86" s="53"/>
      <c r="AY86" s="53"/>
      <c r="AZ86" s="53"/>
      <c r="BA86" s="53"/>
      <c r="BB86" s="53"/>
      <c r="BC86" s="111">
        <f t="shared" si="21"/>
        <v>14808.592762780008</v>
      </c>
      <c r="BD86" s="111">
        <f t="shared" si="22"/>
        <v>22212.889144170014</v>
      </c>
    </row>
    <row r="87" spans="1:56" ht="15.75" x14ac:dyDescent="0.25">
      <c r="A87" s="53">
        <v>77</v>
      </c>
      <c r="B87" s="53"/>
      <c r="C87" s="53"/>
      <c r="D87" s="53" t="s">
        <v>135</v>
      </c>
      <c r="E87" s="53"/>
      <c r="F87" s="53"/>
      <c r="G87" s="53" t="s">
        <v>290</v>
      </c>
      <c r="H87" s="53" t="s">
        <v>291</v>
      </c>
      <c r="I87" s="85" t="s">
        <v>554</v>
      </c>
      <c r="J87" s="85" t="s">
        <v>555</v>
      </c>
      <c r="K87" s="85" t="s">
        <v>360</v>
      </c>
      <c r="L87" s="53" t="s">
        <v>216</v>
      </c>
      <c r="M87" s="53" t="s">
        <v>361</v>
      </c>
      <c r="N87" s="53"/>
      <c r="O87" s="85" t="s">
        <v>135</v>
      </c>
      <c r="P87" s="53">
        <v>1</v>
      </c>
      <c r="Q87" s="183">
        <v>15</v>
      </c>
      <c r="R87" s="84">
        <v>0.87850000000000006</v>
      </c>
      <c r="S87" s="53">
        <v>21</v>
      </c>
      <c r="T87" s="53"/>
      <c r="U87" s="53">
        <v>3</v>
      </c>
      <c r="V87" s="53">
        <v>480</v>
      </c>
      <c r="W87" s="53"/>
      <c r="X87" s="53"/>
      <c r="Y87" s="53"/>
      <c r="Z87" s="53"/>
      <c r="AA87" s="53"/>
      <c r="AB87" s="53"/>
      <c r="AC87" s="137" t="s">
        <v>124</v>
      </c>
      <c r="AD87" s="138" t="s">
        <v>118</v>
      </c>
      <c r="AE87" s="83">
        <v>8760</v>
      </c>
      <c r="AF87" s="139">
        <v>1</v>
      </c>
      <c r="AG87" s="139">
        <f t="shared" si="12"/>
        <v>0.82191780821917804</v>
      </c>
      <c r="AH87" s="139">
        <v>0.75</v>
      </c>
      <c r="AI87" s="139">
        <v>0.75</v>
      </c>
      <c r="AJ87" s="83">
        <f t="shared" si="13"/>
        <v>2880</v>
      </c>
      <c r="AK87" s="83">
        <f t="shared" si="14"/>
        <v>4320</v>
      </c>
      <c r="AL87" s="104">
        <f t="shared" si="15"/>
        <v>9.5532157085941947</v>
      </c>
      <c r="AM87" s="104">
        <f t="shared" si="16"/>
        <v>9.5532157085941947</v>
      </c>
      <c r="AN87" s="83">
        <f t="shared" si="17"/>
        <v>27513.261240751279</v>
      </c>
      <c r="AO87" s="83">
        <f t="shared" si="18"/>
        <v>41269.891861126918</v>
      </c>
      <c r="AP87" s="182">
        <f t="shared" si="19"/>
        <v>93.879099210017074</v>
      </c>
      <c r="AQ87" s="182">
        <f t="shared" si="20"/>
        <v>140.8186488150256</v>
      </c>
      <c r="AR87" s="85"/>
      <c r="AS87" s="85"/>
      <c r="AT87" s="53"/>
      <c r="AU87" s="53"/>
      <c r="AV87" s="53"/>
      <c r="AW87" s="53"/>
      <c r="AX87" s="53"/>
      <c r="AY87" s="53"/>
      <c r="AZ87" s="53"/>
      <c r="BA87" s="53"/>
      <c r="BB87" s="53"/>
      <c r="BC87" s="111">
        <f t="shared" si="21"/>
        <v>27513.261240751279</v>
      </c>
      <c r="BD87" s="111">
        <f t="shared" si="22"/>
        <v>41269.891861126918</v>
      </c>
    </row>
    <row r="88" spans="1:56" ht="15.75" x14ac:dyDescent="0.25">
      <c r="A88" s="53">
        <v>78</v>
      </c>
      <c r="B88" s="53"/>
      <c r="C88" s="53"/>
      <c r="D88" s="53" t="s">
        <v>135</v>
      </c>
      <c r="E88" s="53"/>
      <c r="F88" s="53"/>
      <c r="G88" s="53" t="s">
        <v>290</v>
      </c>
      <c r="H88" s="53" t="s">
        <v>291</v>
      </c>
      <c r="I88" s="85" t="s">
        <v>487</v>
      </c>
      <c r="J88" s="85" t="s">
        <v>436</v>
      </c>
      <c r="K88" s="85" t="s">
        <v>365</v>
      </c>
      <c r="L88" s="53" t="s">
        <v>216</v>
      </c>
      <c r="M88" s="53" t="s">
        <v>295</v>
      </c>
      <c r="N88" s="53"/>
      <c r="O88" s="85" t="s">
        <v>617</v>
      </c>
      <c r="P88" s="53">
        <v>1</v>
      </c>
      <c r="Q88" s="183">
        <v>10</v>
      </c>
      <c r="R88" s="84">
        <v>0.87050000000000005</v>
      </c>
      <c r="S88" s="53">
        <v>14</v>
      </c>
      <c r="T88" s="53"/>
      <c r="U88" s="53">
        <v>3</v>
      </c>
      <c r="V88" s="53">
        <v>480</v>
      </c>
      <c r="W88" s="53"/>
      <c r="X88" s="53"/>
      <c r="Y88" s="53"/>
      <c r="Z88" s="53"/>
      <c r="AA88" s="53"/>
      <c r="AB88" s="53"/>
      <c r="AC88" s="137" t="s">
        <v>124</v>
      </c>
      <c r="AD88" s="138" t="s">
        <v>118</v>
      </c>
      <c r="AE88" s="83">
        <v>8760</v>
      </c>
      <c r="AF88" s="139">
        <v>1</v>
      </c>
      <c r="AG88" s="139">
        <f t="shared" si="12"/>
        <v>0.82191780821917804</v>
      </c>
      <c r="AH88" s="139">
        <v>0.6</v>
      </c>
      <c r="AI88" s="139">
        <v>0.6</v>
      </c>
      <c r="AJ88" s="83">
        <f t="shared" si="13"/>
        <v>2880</v>
      </c>
      <c r="AK88" s="83">
        <f t="shared" si="14"/>
        <v>4320</v>
      </c>
      <c r="AL88" s="104">
        <f t="shared" si="15"/>
        <v>5.1418724870763919</v>
      </c>
      <c r="AM88" s="104">
        <f t="shared" si="16"/>
        <v>5.1418724870763919</v>
      </c>
      <c r="AN88" s="83">
        <f t="shared" si="17"/>
        <v>14808.592762780008</v>
      </c>
      <c r="AO88" s="83">
        <f t="shared" si="18"/>
        <v>22212.889144170014</v>
      </c>
      <c r="AP88" s="182">
        <f t="shared" si="19"/>
        <v>50.528991709592177</v>
      </c>
      <c r="AQ88" s="182">
        <f t="shared" si="20"/>
        <v>75.793487564388272</v>
      </c>
      <c r="AR88" s="85"/>
      <c r="AS88" s="85"/>
      <c r="AT88" s="53"/>
      <c r="AU88" s="53"/>
      <c r="AV88" s="53"/>
      <c r="AW88" s="53"/>
      <c r="AX88" s="53"/>
      <c r="AY88" s="53"/>
      <c r="AZ88" s="53"/>
      <c r="BA88" s="53"/>
      <c r="BB88" s="53"/>
      <c r="BC88" s="111">
        <f t="shared" si="21"/>
        <v>14808.592762780008</v>
      </c>
      <c r="BD88" s="111">
        <f t="shared" si="22"/>
        <v>22212.889144170014</v>
      </c>
    </row>
    <row r="89" spans="1:56" ht="15.75" x14ac:dyDescent="0.25">
      <c r="A89" s="53">
        <v>79</v>
      </c>
      <c r="B89" s="53"/>
      <c r="C89" s="53"/>
      <c r="D89" s="53" t="s">
        <v>135</v>
      </c>
      <c r="E89" s="53"/>
      <c r="F89" s="53"/>
      <c r="G89" s="53" t="s">
        <v>290</v>
      </c>
      <c r="H89" s="53" t="s">
        <v>291</v>
      </c>
      <c r="I89" s="85" t="s">
        <v>487</v>
      </c>
      <c r="J89" s="85" t="s">
        <v>436</v>
      </c>
      <c r="K89" s="85" t="s">
        <v>360</v>
      </c>
      <c r="L89" s="53" t="s">
        <v>216</v>
      </c>
      <c r="M89" s="53" t="s">
        <v>361</v>
      </c>
      <c r="N89" s="53"/>
      <c r="O89" s="85" t="s">
        <v>135</v>
      </c>
      <c r="P89" s="53">
        <v>1</v>
      </c>
      <c r="Q89" s="183">
        <v>20</v>
      </c>
      <c r="R89" s="84">
        <v>0.89700000000000002</v>
      </c>
      <c r="S89" s="53">
        <v>24.7</v>
      </c>
      <c r="T89" s="53"/>
      <c r="U89" s="53">
        <v>3</v>
      </c>
      <c r="V89" s="53">
        <v>480</v>
      </c>
      <c r="W89" s="53"/>
      <c r="X89" s="53"/>
      <c r="Y89" s="53"/>
      <c r="Z89" s="53"/>
      <c r="AA89" s="53"/>
      <c r="AB89" s="53"/>
      <c r="AC89" s="137" t="s">
        <v>124</v>
      </c>
      <c r="AD89" s="138" t="s">
        <v>118</v>
      </c>
      <c r="AE89" s="83">
        <v>8760</v>
      </c>
      <c r="AF89" s="139">
        <v>1</v>
      </c>
      <c r="AG89" s="139">
        <f t="shared" si="12"/>
        <v>0.82191780821917804</v>
      </c>
      <c r="AH89" s="139">
        <v>0.75</v>
      </c>
      <c r="AI89" s="139">
        <v>0.75</v>
      </c>
      <c r="AJ89" s="83">
        <f t="shared" si="13"/>
        <v>2880</v>
      </c>
      <c r="AK89" s="83">
        <f t="shared" si="14"/>
        <v>4320</v>
      </c>
      <c r="AL89" s="104">
        <f t="shared" si="15"/>
        <v>12.474916387959865</v>
      </c>
      <c r="AM89" s="104">
        <f t="shared" si="16"/>
        <v>12.474916387959865</v>
      </c>
      <c r="AN89" s="83">
        <f t="shared" si="17"/>
        <v>35927.759197324413</v>
      </c>
      <c r="AO89" s="83">
        <f t="shared" si="18"/>
        <v>53891.638795986619</v>
      </c>
      <c r="AP89" s="182">
        <f t="shared" si="19"/>
        <v>122.59054426755851</v>
      </c>
      <c r="AQ89" s="182">
        <f t="shared" si="20"/>
        <v>183.88581640133776</v>
      </c>
      <c r="AR89" s="85"/>
      <c r="AS89" s="85"/>
      <c r="AT89" s="53"/>
      <c r="AU89" s="53"/>
      <c r="AV89" s="53"/>
      <c r="AW89" s="53"/>
      <c r="AX89" s="53"/>
      <c r="AY89" s="53"/>
      <c r="AZ89" s="53"/>
      <c r="BA89" s="53"/>
      <c r="BB89" s="53"/>
      <c r="BC89" s="111">
        <f t="shared" si="21"/>
        <v>35927.759197324413</v>
      </c>
      <c r="BD89" s="111">
        <f t="shared" si="22"/>
        <v>53891.638795986619</v>
      </c>
    </row>
    <row r="90" spans="1:56" ht="15.75" x14ac:dyDescent="0.25">
      <c r="A90" s="53">
        <v>80</v>
      </c>
      <c r="B90" s="53"/>
      <c r="C90" s="53"/>
      <c r="D90" s="53" t="s">
        <v>135</v>
      </c>
      <c r="E90" s="53"/>
      <c r="F90" s="53"/>
      <c r="G90" s="53" t="s">
        <v>290</v>
      </c>
      <c r="H90" s="53" t="s">
        <v>291</v>
      </c>
      <c r="I90" s="85" t="s">
        <v>387</v>
      </c>
      <c r="J90" s="85" t="s">
        <v>388</v>
      </c>
      <c r="K90" s="85" t="s">
        <v>365</v>
      </c>
      <c r="L90" s="53" t="s">
        <v>216</v>
      </c>
      <c r="M90" s="53" t="s">
        <v>295</v>
      </c>
      <c r="N90" s="53"/>
      <c r="O90" s="85" t="s">
        <v>677</v>
      </c>
      <c r="P90" s="53">
        <v>1</v>
      </c>
      <c r="Q90" s="183">
        <v>7.5</v>
      </c>
      <c r="R90" s="84">
        <v>0.87050000000000005</v>
      </c>
      <c r="S90" s="53">
        <v>9.5</v>
      </c>
      <c r="T90" s="53"/>
      <c r="U90" s="53">
        <v>3</v>
      </c>
      <c r="V90" s="53">
        <v>480</v>
      </c>
      <c r="W90" s="53"/>
      <c r="X90" s="53"/>
      <c r="Y90" s="53"/>
      <c r="Z90" s="53"/>
      <c r="AA90" s="53"/>
      <c r="AB90" s="53"/>
      <c r="AC90" s="137" t="s">
        <v>124</v>
      </c>
      <c r="AD90" s="138" t="s">
        <v>118</v>
      </c>
      <c r="AE90" s="83">
        <v>8760</v>
      </c>
      <c r="AF90" s="139">
        <v>1</v>
      </c>
      <c r="AG90" s="139">
        <f t="shared" si="12"/>
        <v>0.82191780821917804</v>
      </c>
      <c r="AH90" s="139">
        <v>0.6</v>
      </c>
      <c r="AI90" s="139">
        <v>0.6</v>
      </c>
      <c r="AJ90" s="83">
        <f t="shared" si="13"/>
        <v>2880</v>
      </c>
      <c r="AK90" s="83">
        <f t="shared" si="14"/>
        <v>4320</v>
      </c>
      <c r="AL90" s="104">
        <f t="shared" si="15"/>
        <v>3.8564043653072941</v>
      </c>
      <c r="AM90" s="104">
        <f t="shared" si="16"/>
        <v>3.8564043653072941</v>
      </c>
      <c r="AN90" s="83">
        <f t="shared" si="17"/>
        <v>11106.444572085007</v>
      </c>
      <c r="AO90" s="83">
        <f t="shared" si="18"/>
        <v>16659.666858127512</v>
      </c>
      <c r="AP90" s="182">
        <f t="shared" si="19"/>
        <v>37.896743782194136</v>
      </c>
      <c r="AQ90" s="182">
        <f t="shared" si="20"/>
        <v>56.845115673291204</v>
      </c>
      <c r="AR90" s="85"/>
      <c r="AS90" s="85"/>
      <c r="AT90" s="53"/>
      <c r="AU90" s="53"/>
      <c r="AV90" s="53"/>
      <c r="AW90" s="53"/>
      <c r="AX90" s="53"/>
      <c r="AY90" s="53"/>
      <c r="AZ90" s="53"/>
      <c r="BA90" s="53"/>
      <c r="BB90" s="53"/>
      <c r="BC90" s="111">
        <f t="shared" si="21"/>
        <v>11106.444572085007</v>
      </c>
      <c r="BD90" s="111">
        <f t="shared" si="22"/>
        <v>16659.666858127512</v>
      </c>
    </row>
    <row r="91" spans="1:56" ht="15.75" x14ac:dyDescent="0.25">
      <c r="A91" s="53">
        <v>81</v>
      </c>
      <c r="B91" s="53"/>
      <c r="C91" s="53"/>
      <c r="D91" s="53" t="s">
        <v>135</v>
      </c>
      <c r="E91" s="53"/>
      <c r="F91" s="53"/>
      <c r="G91" s="53" t="s">
        <v>290</v>
      </c>
      <c r="H91" s="53" t="s">
        <v>291</v>
      </c>
      <c r="I91" s="85" t="s">
        <v>387</v>
      </c>
      <c r="J91" s="85" t="s">
        <v>388</v>
      </c>
      <c r="K91" s="85" t="s">
        <v>365</v>
      </c>
      <c r="L91" s="53" t="s">
        <v>216</v>
      </c>
      <c r="M91" s="53" t="s">
        <v>295</v>
      </c>
      <c r="N91" s="53"/>
      <c r="O91" s="85" t="s">
        <v>678</v>
      </c>
      <c r="P91" s="53">
        <v>1</v>
      </c>
      <c r="Q91" s="183">
        <v>7.5</v>
      </c>
      <c r="R91" s="84">
        <v>0.87050000000000005</v>
      </c>
      <c r="S91" s="53">
        <v>9.5</v>
      </c>
      <c r="T91" s="53"/>
      <c r="U91" s="53">
        <v>3</v>
      </c>
      <c r="V91" s="53">
        <v>480</v>
      </c>
      <c r="W91" s="53"/>
      <c r="X91" s="53"/>
      <c r="Y91" s="53"/>
      <c r="Z91" s="53"/>
      <c r="AA91" s="53"/>
      <c r="AB91" s="53"/>
      <c r="AC91" s="137" t="s">
        <v>124</v>
      </c>
      <c r="AD91" s="138" t="s">
        <v>118</v>
      </c>
      <c r="AE91" s="83">
        <v>8760</v>
      </c>
      <c r="AF91" s="139">
        <v>1</v>
      </c>
      <c r="AG91" s="139">
        <f t="shared" si="12"/>
        <v>0.82191780821917804</v>
      </c>
      <c r="AH91" s="139">
        <v>0.6</v>
      </c>
      <c r="AI91" s="139">
        <v>0.6</v>
      </c>
      <c r="AJ91" s="83">
        <f t="shared" si="13"/>
        <v>2880</v>
      </c>
      <c r="AK91" s="83">
        <f t="shared" si="14"/>
        <v>4320</v>
      </c>
      <c r="AL91" s="104">
        <f t="shared" si="15"/>
        <v>3.8564043653072941</v>
      </c>
      <c r="AM91" s="104">
        <f t="shared" si="16"/>
        <v>3.8564043653072941</v>
      </c>
      <c r="AN91" s="83">
        <f t="shared" si="17"/>
        <v>11106.444572085007</v>
      </c>
      <c r="AO91" s="83">
        <f t="shared" si="18"/>
        <v>16659.666858127512</v>
      </c>
      <c r="AP91" s="182">
        <f t="shared" si="19"/>
        <v>37.896743782194136</v>
      </c>
      <c r="AQ91" s="182">
        <f t="shared" si="20"/>
        <v>56.845115673291204</v>
      </c>
      <c r="AR91" s="85"/>
      <c r="AS91" s="85"/>
      <c r="AT91" s="53"/>
      <c r="AU91" s="53"/>
      <c r="AV91" s="53"/>
      <c r="AW91" s="53"/>
      <c r="AX91" s="53"/>
      <c r="AY91" s="53"/>
      <c r="AZ91" s="53"/>
      <c r="BA91" s="53"/>
      <c r="BB91" s="53"/>
      <c r="BC91" s="111">
        <f t="shared" si="21"/>
        <v>11106.444572085007</v>
      </c>
      <c r="BD91" s="111">
        <f t="shared" si="22"/>
        <v>16659.666858127512</v>
      </c>
    </row>
    <row r="92" spans="1:56" ht="15.75" x14ac:dyDescent="0.25">
      <c r="A92" s="53">
        <v>82</v>
      </c>
      <c r="B92" s="53"/>
      <c r="C92" s="53"/>
      <c r="D92" s="53" t="s">
        <v>135</v>
      </c>
      <c r="E92" s="53"/>
      <c r="F92" s="53"/>
      <c r="G92" s="53" t="s">
        <v>290</v>
      </c>
      <c r="H92" s="53" t="s">
        <v>291</v>
      </c>
      <c r="I92" s="85" t="s">
        <v>387</v>
      </c>
      <c r="J92" s="85" t="s">
        <v>388</v>
      </c>
      <c r="K92" s="85" t="s">
        <v>365</v>
      </c>
      <c r="L92" s="53" t="s">
        <v>216</v>
      </c>
      <c r="M92" s="53" t="s">
        <v>295</v>
      </c>
      <c r="N92" s="53"/>
      <c r="O92" s="85" t="s">
        <v>679</v>
      </c>
      <c r="P92" s="53">
        <v>1</v>
      </c>
      <c r="Q92" s="183">
        <v>7.5</v>
      </c>
      <c r="R92" s="84">
        <v>0.87050000000000005</v>
      </c>
      <c r="S92" s="53">
        <v>9.5</v>
      </c>
      <c r="T92" s="53"/>
      <c r="U92" s="53">
        <v>3</v>
      </c>
      <c r="V92" s="53">
        <v>480</v>
      </c>
      <c r="W92" s="53"/>
      <c r="X92" s="53"/>
      <c r="Y92" s="53"/>
      <c r="Z92" s="53"/>
      <c r="AA92" s="53"/>
      <c r="AB92" s="53"/>
      <c r="AC92" s="137" t="s">
        <v>124</v>
      </c>
      <c r="AD92" s="138" t="s">
        <v>118</v>
      </c>
      <c r="AE92" s="83">
        <v>8760</v>
      </c>
      <c r="AF92" s="139">
        <v>1</v>
      </c>
      <c r="AG92" s="139">
        <f t="shared" si="12"/>
        <v>0.82191780821917804</v>
      </c>
      <c r="AH92" s="139">
        <v>0.6</v>
      </c>
      <c r="AI92" s="139">
        <v>0.6</v>
      </c>
      <c r="AJ92" s="83">
        <f t="shared" si="13"/>
        <v>2880</v>
      </c>
      <c r="AK92" s="83">
        <f t="shared" si="14"/>
        <v>4320</v>
      </c>
      <c r="AL92" s="104">
        <f t="shared" si="15"/>
        <v>3.8564043653072941</v>
      </c>
      <c r="AM92" s="104">
        <f t="shared" si="16"/>
        <v>3.8564043653072941</v>
      </c>
      <c r="AN92" s="83">
        <f t="shared" si="17"/>
        <v>11106.444572085007</v>
      </c>
      <c r="AO92" s="83">
        <f t="shared" si="18"/>
        <v>16659.666858127512</v>
      </c>
      <c r="AP92" s="182">
        <f t="shared" si="19"/>
        <v>37.896743782194136</v>
      </c>
      <c r="AQ92" s="182">
        <f t="shared" si="20"/>
        <v>56.845115673291204</v>
      </c>
      <c r="AR92" s="85"/>
      <c r="AS92" s="85"/>
      <c r="AT92" s="53"/>
      <c r="AU92" s="53"/>
      <c r="AV92" s="53"/>
      <c r="AW92" s="53"/>
      <c r="AX92" s="53"/>
      <c r="AY92" s="53"/>
      <c r="AZ92" s="53"/>
      <c r="BA92" s="53"/>
      <c r="BB92" s="53"/>
      <c r="BC92" s="111">
        <f t="shared" si="21"/>
        <v>11106.444572085007</v>
      </c>
      <c r="BD92" s="111">
        <f t="shared" si="22"/>
        <v>16659.666858127512</v>
      </c>
    </row>
    <row r="93" spans="1:56" ht="15.75" x14ac:dyDescent="0.25">
      <c r="A93" s="53">
        <v>83</v>
      </c>
      <c r="B93" s="53"/>
      <c r="C93" s="53"/>
      <c r="D93" s="53" t="s">
        <v>135</v>
      </c>
      <c r="E93" s="53"/>
      <c r="F93" s="53"/>
      <c r="G93" s="53" t="s">
        <v>290</v>
      </c>
      <c r="H93" s="53" t="s">
        <v>291</v>
      </c>
      <c r="I93" s="85" t="s">
        <v>387</v>
      </c>
      <c r="J93" s="85" t="s">
        <v>388</v>
      </c>
      <c r="K93" s="85" t="s">
        <v>365</v>
      </c>
      <c r="L93" s="53" t="s">
        <v>216</v>
      </c>
      <c r="M93" s="53" t="s">
        <v>295</v>
      </c>
      <c r="N93" s="53"/>
      <c r="O93" s="85" t="s">
        <v>680</v>
      </c>
      <c r="P93" s="53">
        <v>1</v>
      </c>
      <c r="Q93" s="183">
        <v>7.5</v>
      </c>
      <c r="R93" s="84">
        <v>0.87050000000000005</v>
      </c>
      <c r="S93" s="53">
        <v>9.5</v>
      </c>
      <c r="T93" s="53"/>
      <c r="U93" s="53">
        <v>3</v>
      </c>
      <c r="V93" s="53">
        <v>480</v>
      </c>
      <c r="W93" s="53"/>
      <c r="X93" s="53"/>
      <c r="Y93" s="53"/>
      <c r="Z93" s="53"/>
      <c r="AA93" s="53"/>
      <c r="AB93" s="53"/>
      <c r="AC93" s="137" t="s">
        <v>124</v>
      </c>
      <c r="AD93" s="138" t="s">
        <v>118</v>
      </c>
      <c r="AE93" s="83">
        <v>8760</v>
      </c>
      <c r="AF93" s="139">
        <v>1</v>
      </c>
      <c r="AG93" s="139">
        <f t="shared" si="12"/>
        <v>0.82191780821917804</v>
      </c>
      <c r="AH93" s="139">
        <v>0.6</v>
      </c>
      <c r="AI93" s="139">
        <v>0.6</v>
      </c>
      <c r="AJ93" s="83">
        <f t="shared" si="13"/>
        <v>2880</v>
      </c>
      <c r="AK93" s="83">
        <f t="shared" si="14"/>
        <v>4320</v>
      </c>
      <c r="AL93" s="104">
        <f t="shared" si="15"/>
        <v>3.8564043653072941</v>
      </c>
      <c r="AM93" s="104">
        <f t="shared" si="16"/>
        <v>3.8564043653072941</v>
      </c>
      <c r="AN93" s="83">
        <f t="shared" si="17"/>
        <v>11106.444572085007</v>
      </c>
      <c r="AO93" s="83">
        <f t="shared" si="18"/>
        <v>16659.666858127512</v>
      </c>
      <c r="AP93" s="182">
        <f t="shared" si="19"/>
        <v>37.896743782194136</v>
      </c>
      <c r="AQ93" s="182">
        <f t="shared" si="20"/>
        <v>56.845115673291204</v>
      </c>
      <c r="AR93" s="85"/>
      <c r="AS93" s="85"/>
      <c r="AT93" s="53"/>
      <c r="AU93" s="53"/>
      <c r="AV93" s="53"/>
      <c r="AW93" s="53"/>
      <c r="AX93" s="53"/>
      <c r="AY93" s="53"/>
      <c r="AZ93" s="53"/>
      <c r="BA93" s="53"/>
      <c r="BB93" s="53"/>
      <c r="BC93" s="111">
        <f t="shared" si="21"/>
        <v>11106.444572085007</v>
      </c>
      <c r="BD93" s="111">
        <f t="shared" si="22"/>
        <v>16659.666858127512</v>
      </c>
    </row>
    <row r="94" spans="1:56" ht="15.75" x14ac:dyDescent="0.25">
      <c r="A94" s="53">
        <v>84</v>
      </c>
      <c r="B94" s="53"/>
      <c r="C94" s="53"/>
      <c r="D94" s="53" t="s">
        <v>135</v>
      </c>
      <c r="E94" s="53"/>
      <c r="F94" s="53"/>
      <c r="G94" s="53" t="s">
        <v>290</v>
      </c>
      <c r="H94" s="53" t="s">
        <v>291</v>
      </c>
      <c r="I94" s="85" t="s">
        <v>387</v>
      </c>
      <c r="J94" s="85" t="s">
        <v>388</v>
      </c>
      <c r="K94" s="85" t="s">
        <v>360</v>
      </c>
      <c r="L94" s="53" t="s">
        <v>216</v>
      </c>
      <c r="M94" s="53" t="s">
        <v>361</v>
      </c>
      <c r="N94" s="53"/>
      <c r="O94" s="85" t="s">
        <v>135</v>
      </c>
      <c r="P94" s="53">
        <v>1</v>
      </c>
      <c r="Q94" s="183">
        <v>40</v>
      </c>
      <c r="R94" s="84">
        <v>0.89250000000000007</v>
      </c>
      <c r="S94" s="53">
        <v>49</v>
      </c>
      <c r="T94" s="53"/>
      <c r="U94" s="53">
        <v>3</v>
      </c>
      <c r="V94" s="53">
        <v>480</v>
      </c>
      <c r="W94" s="53"/>
      <c r="X94" s="53"/>
      <c r="Y94" s="53"/>
      <c r="Z94" s="53"/>
      <c r="AA94" s="53"/>
      <c r="AB94" s="53"/>
      <c r="AC94" s="137" t="s">
        <v>124</v>
      </c>
      <c r="AD94" s="138" t="s">
        <v>118</v>
      </c>
      <c r="AE94" s="83">
        <v>8760</v>
      </c>
      <c r="AF94" s="139">
        <v>1</v>
      </c>
      <c r="AG94" s="139">
        <f t="shared" si="12"/>
        <v>0.82191780821917804</v>
      </c>
      <c r="AH94" s="139">
        <v>0.75</v>
      </c>
      <c r="AI94" s="139">
        <v>0.75</v>
      </c>
      <c r="AJ94" s="83">
        <f t="shared" si="13"/>
        <v>2880</v>
      </c>
      <c r="AK94" s="83">
        <f t="shared" si="14"/>
        <v>4320</v>
      </c>
      <c r="AL94" s="104">
        <f t="shared" si="15"/>
        <v>25.075630252100837</v>
      </c>
      <c r="AM94" s="104">
        <f t="shared" si="16"/>
        <v>25.075630252100837</v>
      </c>
      <c r="AN94" s="83">
        <f t="shared" si="17"/>
        <v>72217.815126050409</v>
      </c>
      <c r="AO94" s="83">
        <f t="shared" si="18"/>
        <v>108326.72268907561</v>
      </c>
      <c r="AP94" s="182">
        <f t="shared" si="19"/>
        <v>246.41729570420165</v>
      </c>
      <c r="AQ94" s="182">
        <f t="shared" si="20"/>
        <v>369.62594355630245</v>
      </c>
      <c r="AR94" s="85"/>
      <c r="AS94" s="85"/>
      <c r="AT94" s="53"/>
      <c r="AU94" s="53"/>
      <c r="AV94" s="53"/>
      <c r="AW94" s="53"/>
      <c r="AX94" s="53"/>
      <c r="AY94" s="53"/>
      <c r="AZ94" s="53"/>
      <c r="BA94" s="53"/>
      <c r="BB94" s="53"/>
      <c r="BC94" s="111">
        <f t="shared" si="21"/>
        <v>72217.815126050409</v>
      </c>
      <c r="BD94" s="111">
        <f t="shared" si="22"/>
        <v>108326.72268907561</v>
      </c>
    </row>
    <row r="95" spans="1:56" ht="15.75" x14ac:dyDescent="0.25">
      <c r="A95" s="53">
        <v>85</v>
      </c>
      <c r="B95" s="53"/>
      <c r="C95" s="53"/>
      <c r="D95" s="53" t="s">
        <v>135</v>
      </c>
      <c r="E95" s="53"/>
      <c r="F95" s="53"/>
      <c r="G95" s="53" t="s">
        <v>290</v>
      </c>
      <c r="H95" s="53" t="s">
        <v>291</v>
      </c>
      <c r="I95" s="85" t="s">
        <v>389</v>
      </c>
      <c r="J95" s="85" t="s">
        <v>390</v>
      </c>
      <c r="K95" s="85" t="s">
        <v>365</v>
      </c>
      <c r="L95" s="53" t="s">
        <v>216</v>
      </c>
      <c r="M95" s="53" t="s">
        <v>295</v>
      </c>
      <c r="N95" s="53"/>
      <c r="O95" s="85" t="s">
        <v>409</v>
      </c>
      <c r="P95" s="53">
        <v>1</v>
      </c>
      <c r="Q95" s="183">
        <v>40</v>
      </c>
      <c r="R95" s="84">
        <v>0.89250000000000007</v>
      </c>
      <c r="S95" s="53">
        <v>49</v>
      </c>
      <c r="T95" s="53"/>
      <c r="U95" s="53">
        <v>3</v>
      </c>
      <c r="V95" s="53">
        <v>480</v>
      </c>
      <c r="W95" s="53"/>
      <c r="X95" s="53"/>
      <c r="Y95" s="53"/>
      <c r="Z95" s="53"/>
      <c r="AA95" s="53"/>
      <c r="AB95" s="53"/>
      <c r="AC95" s="137" t="s">
        <v>124</v>
      </c>
      <c r="AD95" s="138" t="s">
        <v>118</v>
      </c>
      <c r="AE95" s="83">
        <v>8760</v>
      </c>
      <c r="AF95" s="139">
        <v>1</v>
      </c>
      <c r="AG95" s="139">
        <f t="shared" si="12"/>
        <v>0.82191780821917804</v>
      </c>
      <c r="AH95" s="139">
        <v>0.6</v>
      </c>
      <c r="AI95" s="139">
        <v>0.6</v>
      </c>
      <c r="AJ95" s="83">
        <f t="shared" si="13"/>
        <v>2880</v>
      </c>
      <c r="AK95" s="83">
        <f t="shared" si="14"/>
        <v>4320</v>
      </c>
      <c r="AL95" s="104">
        <f t="shared" si="15"/>
        <v>20.060504201680669</v>
      </c>
      <c r="AM95" s="104">
        <f t="shared" si="16"/>
        <v>20.060504201680669</v>
      </c>
      <c r="AN95" s="83">
        <f t="shared" si="17"/>
        <v>57774.252100840327</v>
      </c>
      <c r="AO95" s="83">
        <f t="shared" si="18"/>
        <v>86661.378151260491</v>
      </c>
      <c r="AP95" s="182">
        <f t="shared" si="19"/>
        <v>197.13383656336131</v>
      </c>
      <c r="AQ95" s="182">
        <f t="shared" si="20"/>
        <v>295.70075484504201</v>
      </c>
      <c r="AR95" s="85"/>
      <c r="AS95" s="85"/>
      <c r="AT95" s="53"/>
      <c r="AU95" s="53"/>
      <c r="AV95" s="53"/>
      <c r="AW95" s="53"/>
      <c r="AX95" s="53"/>
      <c r="AY95" s="53"/>
      <c r="AZ95" s="53"/>
      <c r="BA95" s="53"/>
      <c r="BB95" s="53"/>
      <c r="BC95" s="111">
        <f t="shared" si="21"/>
        <v>57774.252100840327</v>
      </c>
      <c r="BD95" s="111">
        <f t="shared" si="22"/>
        <v>86661.378151260491</v>
      </c>
    </row>
    <row r="96" spans="1:56" ht="15.75" x14ac:dyDescent="0.25">
      <c r="A96" s="53">
        <v>86</v>
      </c>
      <c r="B96" s="53"/>
      <c r="C96" s="53"/>
      <c r="D96" s="53" t="s">
        <v>135</v>
      </c>
      <c r="E96" s="53"/>
      <c r="F96" s="53"/>
      <c r="G96" s="53" t="s">
        <v>290</v>
      </c>
      <c r="H96" s="53" t="s">
        <v>291</v>
      </c>
      <c r="I96" s="85" t="s">
        <v>389</v>
      </c>
      <c r="J96" s="85" t="s">
        <v>390</v>
      </c>
      <c r="K96" s="85" t="s">
        <v>360</v>
      </c>
      <c r="L96" s="53" t="s">
        <v>216</v>
      </c>
      <c r="M96" s="53" t="s">
        <v>361</v>
      </c>
      <c r="N96" s="53"/>
      <c r="O96" s="85" t="s">
        <v>135</v>
      </c>
      <c r="P96" s="53">
        <v>1</v>
      </c>
      <c r="Q96" s="183">
        <v>40</v>
      </c>
      <c r="R96" s="84">
        <v>0.89250000000000007</v>
      </c>
      <c r="S96" s="53">
        <v>49</v>
      </c>
      <c r="T96" s="53"/>
      <c r="U96" s="53">
        <v>3</v>
      </c>
      <c r="V96" s="53">
        <v>480</v>
      </c>
      <c r="W96" s="53"/>
      <c r="X96" s="53"/>
      <c r="Y96" s="53"/>
      <c r="Z96" s="53"/>
      <c r="AA96" s="53"/>
      <c r="AB96" s="53"/>
      <c r="AC96" s="137" t="s">
        <v>124</v>
      </c>
      <c r="AD96" s="138" t="s">
        <v>118</v>
      </c>
      <c r="AE96" s="83">
        <v>8760</v>
      </c>
      <c r="AF96" s="139">
        <v>1</v>
      </c>
      <c r="AG96" s="139">
        <f t="shared" si="12"/>
        <v>0.82191780821917804</v>
      </c>
      <c r="AH96" s="139">
        <v>0.75</v>
      </c>
      <c r="AI96" s="139">
        <v>0.75</v>
      </c>
      <c r="AJ96" s="83">
        <f t="shared" si="13"/>
        <v>2880</v>
      </c>
      <c r="AK96" s="83">
        <f t="shared" si="14"/>
        <v>4320</v>
      </c>
      <c r="AL96" s="104">
        <f t="shared" si="15"/>
        <v>25.075630252100837</v>
      </c>
      <c r="AM96" s="104">
        <f t="shared" si="16"/>
        <v>25.075630252100837</v>
      </c>
      <c r="AN96" s="83">
        <f t="shared" si="17"/>
        <v>72217.815126050409</v>
      </c>
      <c r="AO96" s="83">
        <f t="shared" si="18"/>
        <v>108326.72268907561</v>
      </c>
      <c r="AP96" s="182">
        <f t="shared" si="19"/>
        <v>246.41729570420165</v>
      </c>
      <c r="AQ96" s="182">
        <f t="shared" si="20"/>
        <v>369.62594355630245</v>
      </c>
      <c r="AR96" s="85"/>
      <c r="AS96" s="85"/>
      <c r="AT96" s="53"/>
      <c r="AU96" s="53"/>
      <c r="AV96" s="53"/>
      <c r="AW96" s="53"/>
      <c r="AX96" s="53"/>
      <c r="AY96" s="53"/>
      <c r="AZ96" s="53"/>
      <c r="BA96" s="53"/>
      <c r="BB96" s="53"/>
      <c r="BC96" s="111">
        <f t="shared" si="21"/>
        <v>72217.815126050409</v>
      </c>
      <c r="BD96" s="111">
        <f t="shared" si="22"/>
        <v>108326.72268907561</v>
      </c>
    </row>
    <row r="97" spans="1:56" ht="15.75" x14ac:dyDescent="0.25">
      <c r="A97" s="53">
        <v>87</v>
      </c>
      <c r="B97" s="53"/>
      <c r="C97" s="53"/>
      <c r="D97" s="53" t="s">
        <v>135</v>
      </c>
      <c r="E97" s="53"/>
      <c r="F97" s="53"/>
      <c r="G97" s="53" t="s">
        <v>290</v>
      </c>
      <c r="H97" s="53" t="s">
        <v>291</v>
      </c>
      <c r="I97" s="85" t="s">
        <v>584</v>
      </c>
      <c r="J97" s="85" t="s">
        <v>585</v>
      </c>
      <c r="K97" s="85" t="s">
        <v>365</v>
      </c>
      <c r="L97" s="53" t="s">
        <v>216</v>
      </c>
      <c r="M97" s="53" t="s">
        <v>295</v>
      </c>
      <c r="N97" s="53"/>
      <c r="O97" s="85" t="s">
        <v>681</v>
      </c>
      <c r="P97" s="53">
        <v>1</v>
      </c>
      <c r="Q97" s="183">
        <v>7.5</v>
      </c>
      <c r="R97" s="84">
        <v>0.87050000000000005</v>
      </c>
      <c r="S97" s="53">
        <v>9.5</v>
      </c>
      <c r="T97" s="53"/>
      <c r="U97" s="53">
        <v>3</v>
      </c>
      <c r="V97" s="53">
        <v>480</v>
      </c>
      <c r="W97" s="53"/>
      <c r="X97" s="53"/>
      <c r="Y97" s="53"/>
      <c r="Z97" s="53"/>
      <c r="AA97" s="53"/>
      <c r="AB97" s="53"/>
      <c r="AC97" s="137" t="s">
        <v>124</v>
      </c>
      <c r="AD97" s="138" t="s">
        <v>118</v>
      </c>
      <c r="AE97" s="83">
        <v>8760</v>
      </c>
      <c r="AF97" s="139">
        <v>1</v>
      </c>
      <c r="AG97" s="139">
        <f t="shared" si="12"/>
        <v>0.82191780821917804</v>
      </c>
      <c r="AH97" s="139">
        <v>0.6</v>
      </c>
      <c r="AI97" s="139">
        <v>0.6</v>
      </c>
      <c r="AJ97" s="83">
        <f t="shared" si="13"/>
        <v>2880</v>
      </c>
      <c r="AK97" s="83">
        <f t="shared" si="14"/>
        <v>4320</v>
      </c>
      <c r="AL97" s="104">
        <f t="shared" si="15"/>
        <v>3.8564043653072941</v>
      </c>
      <c r="AM97" s="104">
        <f t="shared" si="16"/>
        <v>3.8564043653072941</v>
      </c>
      <c r="AN97" s="83">
        <f t="shared" si="17"/>
        <v>11106.444572085007</v>
      </c>
      <c r="AO97" s="83">
        <f t="shared" si="18"/>
        <v>16659.666858127512</v>
      </c>
      <c r="AP97" s="182">
        <f t="shared" si="19"/>
        <v>37.896743782194136</v>
      </c>
      <c r="AQ97" s="182">
        <f t="shared" si="20"/>
        <v>56.845115673291204</v>
      </c>
      <c r="AR97" s="85"/>
      <c r="AS97" s="85"/>
      <c r="AT97" s="53"/>
      <c r="AU97" s="53"/>
      <c r="AV97" s="53"/>
      <c r="AW97" s="53"/>
      <c r="AX97" s="53"/>
      <c r="AY97" s="53"/>
      <c r="AZ97" s="53"/>
      <c r="BA97" s="53"/>
      <c r="BB97" s="53"/>
      <c r="BC97" s="111">
        <f t="shared" si="21"/>
        <v>11106.444572085007</v>
      </c>
      <c r="BD97" s="111">
        <f t="shared" si="22"/>
        <v>16659.666858127512</v>
      </c>
    </row>
    <row r="98" spans="1:56" ht="15.75" x14ac:dyDescent="0.25">
      <c r="A98" s="53">
        <v>88</v>
      </c>
      <c r="B98" s="53"/>
      <c r="C98" s="53"/>
      <c r="D98" s="53" t="s">
        <v>135</v>
      </c>
      <c r="E98" s="53"/>
      <c r="F98" s="53"/>
      <c r="G98" s="53" t="s">
        <v>290</v>
      </c>
      <c r="H98" s="53" t="s">
        <v>291</v>
      </c>
      <c r="I98" s="85" t="s">
        <v>584</v>
      </c>
      <c r="J98" s="85" t="s">
        <v>585</v>
      </c>
      <c r="K98" s="85" t="s">
        <v>360</v>
      </c>
      <c r="L98" s="53" t="s">
        <v>216</v>
      </c>
      <c r="M98" s="53" t="s">
        <v>361</v>
      </c>
      <c r="N98" s="53"/>
      <c r="O98" s="85" t="s">
        <v>135</v>
      </c>
      <c r="P98" s="53">
        <v>1</v>
      </c>
      <c r="Q98" s="183">
        <v>10</v>
      </c>
      <c r="R98" s="84">
        <v>0.87050000000000005</v>
      </c>
      <c r="S98" s="53">
        <v>14</v>
      </c>
      <c r="T98" s="53"/>
      <c r="U98" s="53">
        <v>3</v>
      </c>
      <c r="V98" s="53">
        <v>480</v>
      </c>
      <c r="W98" s="53"/>
      <c r="X98" s="53"/>
      <c r="Y98" s="53"/>
      <c r="Z98" s="53"/>
      <c r="AA98" s="53"/>
      <c r="AB98" s="53"/>
      <c r="AC98" s="137" t="s">
        <v>124</v>
      </c>
      <c r="AD98" s="138" t="s">
        <v>118</v>
      </c>
      <c r="AE98" s="83">
        <v>8760</v>
      </c>
      <c r="AF98" s="139">
        <v>1</v>
      </c>
      <c r="AG98" s="139">
        <f t="shared" si="12"/>
        <v>0.82191780821917804</v>
      </c>
      <c r="AH98" s="139">
        <v>0.75</v>
      </c>
      <c r="AI98" s="139">
        <v>0.75</v>
      </c>
      <c r="AJ98" s="83">
        <f t="shared" si="13"/>
        <v>2880</v>
      </c>
      <c r="AK98" s="83">
        <f t="shared" si="14"/>
        <v>4320</v>
      </c>
      <c r="AL98" s="104">
        <f t="shared" si="15"/>
        <v>6.4273406088454905</v>
      </c>
      <c r="AM98" s="104">
        <f t="shared" si="16"/>
        <v>6.4273406088454905</v>
      </c>
      <c r="AN98" s="83">
        <f t="shared" si="17"/>
        <v>18510.740953475011</v>
      </c>
      <c r="AO98" s="83">
        <f t="shared" si="18"/>
        <v>27766.111430212521</v>
      </c>
      <c r="AP98" s="182">
        <f t="shared" si="19"/>
        <v>63.161239636990217</v>
      </c>
      <c r="AQ98" s="182">
        <f t="shared" si="20"/>
        <v>94.74185945548534</v>
      </c>
      <c r="AR98" s="85"/>
      <c r="AS98" s="85"/>
      <c r="AT98" s="53"/>
      <c r="AU98" s="53"/>
      <c r="AV98" s="53"/>
      <c r="AW98" s="53"/>
      <c r="AX98" s="53"/>
      <c r="AY98" s="53"/>
      <c r="AZ98" s="53"/>
      <c r="BA98" s="53"/>
      <c r="BB98" s="53"/>
      <c r="BC98" s="111">
        <f t="shared" si="21"/>
        <v>18510.740953475011</v>
      </c>
      <c r="BD98" s="111">
        <f t="shared" si="22"/>
        <v>27766.111430212521</v>
      </c>
    </row>
    <row r="99" spans="1:56" ht="15.75" x14ac:dyDescent="0.25">
      <c r="A99" s="53">
        <v>89</v>
      </c>
      <c r="B99" s="53"/>
      <c r="C99" s="53"/>
      <c r="D99" s="53" t="s">
        <v>135</v>
      </c>
      <c r="E99" s="53"/>
      <c r="F99" s="53"/>
      <c r="G99" s="53" t="s">
        <v>290</v>
      </c>
      <c r="H99" s="53" t="s">
        <v>291</v>
      </c>
      <c r="I99" s="85" t="s">
        <v>730</v>
      </c>
      <c r="J99" s="85" t="s">
        <v>731</v>
      </c>
      <c r="K99" s="85" t="s">
        <v>365</v>
      </c>
      <c r="L99" s="53" t="s">
        <v>216</v>
      </c>
      <c r="M99" s="53" t="s">
        <v>295</v>
      </c>
      <c r="N99" s="53"/>
      <c r="O99" s="85" t="s">
        <v>135</v>
      </c>
      <c r="P99" s="53">
        <v>1</v>
      </c>
      <c r="Q99" s="183">
        <v>5</v>
      </c>
      <c r="R99" s="84">
        <v>0.87050000000000005</v>
      </c>
      <c r="S99" s="53">
        <v>7.6</v>
      </c>
      <c r="T99" s="53"/>
      <c r="U99" s="53">
        <v>3</v>
      </c>
      <c r="V99" s="53">
        <v>480</v>
      </c>
      <c r="W99" s="53"/>
      <c r="X99" s="53"/>
      <c r="Y99" s="53"/>
      <c r="Z99" s="53"/>
      <c r="AA99" s="53"/>
      <c r="AB99" s="53"/>
      <c r="AC99" s="137" t="s">
        <v>124</v>
      </c>
      <c r="AD99" s="138" t="s">
        <v>118</v>
      </c>
      <c r="AE99" s="83">
        <v>8760</v>
      </c>
      <c r="AF99" s="139">
        <v>1</v>
      </c>
      <c r="AG99" s="139">
        <f t="shared" si="12"/>
        <v>0.82191780821917804</v>
      </c>
      <c r="AH99" s="139">
        <v>0.6</v>
      </c>
      <c r="AI99" s="139">
        <v>0.6</v>
      </c>
      <c r="AJ99" s="83">
        <f t="shared" si="13"/>
        <v>2880</v>
      </c>
      <c r="AK99" s="83">
        <f t="shared" si="14"/>
        <v>4320</v>
      </c>
      <c r="AL99" s="104">
        <f t="shared" si="15"/>
        <v>2.5709362435381959</v>
      </c>
      <c r="AM99" s="104">
        <f t="shared" si="16"/>
        <v>2.5709362435381959</v>
      </c>
      <c r="AN99" s="83">
        <f t="shared" si="17"/>
        <v>7404.2963813900042</v>
      </c>
      <c r="AO99" s="83">
        <f t="shared" si="18"/>
        <v>11106.444572085007</v>
      </c>
      <c r="AP99" s="182">
        <f t="shared" si="19"/>
        <v>25.264495854796088</v>
      </c>
      <c r="AQ99" s="182">
        <f t="shared" si="20"/>
        <v>37.896743782194136</v>
      </c>
      <c r="AR99" s="85"/>
      <c r="AS99" s="85"/>
      <c r="AT99" s="53"/>
      <c r="AU99" s="53"/>
      <c r="AV99" s="53"/>
      <c r="AW99" s="53"/>
      <c r="AX99" s="53"/>
      <c r="AY99" s="53"/>
      <c r="AZ99" s="53"/>
      <c r="BA99" s="53"/>
      <c r="BB99" s="53"/>
      <c r="BC99" s="111">
        <f t="shared" si="21"/>
        <v>7404.2963813900042</v>
      </c>
      <c r="BD99" s="111">
        <f t="shared" si="22"/>
        <v>11106.444572085007</v>
      </c>
    </row>
    <row r="100" spans="1:56" ht="15.75" x14ac:dyDescent="0.25">
      <c r="A100" s="53">
        <v>90</v>
      </c>
      <c r="B100" s="53"/>
      <c r="C100" s="53"/>
      <c r="D100" s="53" t="s">
        <v>135</v>
      </c>
      <c r="E100" s="53"/>
      <c r="F100" s="53"/>
      <c r="G100" s="53" t="s">
        <v>290</v>
      </c>
      <c r="H100" s="53" t="s">
        <v>291</v>
      </c>
      <c r="I100" s="85" t="s">
        <v>730</v>
      </c>
      <c r="J100" s="85" t="s">
        <v>731</v>
      </c>
      <c r="K100" s="85" t="s">
        <v>365</v>
      </c>
      <c r="L100" s="53" t="s">
        <v>216</v>
      </c>
      <c r="M100" s="53" t="s">
        <v>295</v>
      </c>
      <c r="N100" s="53"/>
      <c r="O100" s="85" t="s">
        <v>135</v>
      </c>
      <c r="P100" s="53">
        <v>1</v>
      </c>
      <c r="Q100" s="183">
        <v>5</v>
      </c>
      <c r="R100" s="84">
        <v>0.87050000000000005</v>
      </c>
      <c r="S100" s="53">
        <v>7.6</v>
      </c>
      <c r="T100" s="53"/>
      <c r="U100" s="53">
        <v>3</v>
      </c>
      <c r="V100" s="53">
        <v>480</v>
      </c>
      <c r="W100" s="53"/>
      <c r="X100" s="53"/>
      <c r="Y100" s="53"/>
      <c r="Z100" s="53"/>
      <c r="AA100" s="53"/>
      <c r="AB100" s="53"/>
      <c r="AC100" s="137" t="s">
        <v>124</v>
      </c>
      <c r="AD100" s="138" t="s">
        <v>118</v>
      </c>
      <c r="AE100" s="83">
        <v>8760</v>
      </c>
      <c r="AF100" s="139">
        <v>1</v>
      </c>
      <c r="AG100" s="139">
        <f t="shared" si="12"/>
        <v>0.82191780821917804</v>
      </c>
      <c r="AH100" s="139">
        <v>0.6</v>
      </c>
      <c r="AI100" s="139">
        <v>0.6</v>
      </c>
      <c r="AJ100" s="83">
        <f t="shared" si="13"/>
        <v>2880</v>
      </c>
      <c r="AK100" s="83">
        <f t="shared" si="14"/>
        <v>4320</v>
      </c>
      <c r="AL100" s="104">
        <f t="shared" si="15"/>
        <v>2.5709362435381959</v>
      </c>
      <c r="AM100" s="104">
        <f t="shared" si="16"/>
        <v>2.5709362435381959</v>
      </c>
      <c r="AN100" s="83">
        <f t="shared" si="17"/>
        <v>7404.2963813900042</v>
      </c>
      <c r="AO100" s="83">
        <f t="shared" si="18"/>
        <v>11106.444572085007</v>
      </c>
      <c r="AP100" s="182">
        <f t="shared" si="19"/>
        <v>25.264495854796088</v>
      </c>
      <c r="AQ100" s="182">
        <f t="shared" si="20"/>
        <v>37.896743782194136</v>
      </c>
      <c r="AR100" s="85"/>
      <c r="AS100" s="85"/>
      <c r="AT100" s="53"/>
      <c r="AU100" s="53"/>
      <c r="AV100" s="53"/>
      <c r="AW100" s="53"/>
      <c r="AX100" s="53"/>
      <c r="AY100" s="53"/>
      <c r="AZ100" s="53"/>
      <c r="BA100" s="53"/>
      <c r="BB100" s="53"/>
      <c r="BC100" s="111">
        <f t="shared" si="21"/>
        <v>7404.2963813900042</v>
      </c>
      <c r="BD100" s="111">
        <f t="shared" si="22"/>
        <v>11106.444572085007</v>
      </c>
    </row>
    <row r="101" spans="1:56" ht="15.75" x14ac:dyDescent="0.25">
      <c r="A101" s="53">
        <v>91</v>
      </c>
      <c r="B101" s="53"/>
      <c r="C101" s="53"/>
      <c r="D101" s="53" t="s">
        <v>135</v>
      </c>
      <c r="E101" s="53"/>
      <c r="F101" s="53"/>
      <c r="G101" s="53" t="s">
        <v>290</v>
      </c>
      <c r="H101" s="53" t="s">
        <v>291</v>
      </c>
      <c r="I101" s="85" t="s">
        <v>730</v>
      </c>
      <c r="J101" s="85" t="s">
        <v>731</v>
      </c>
      <c r="K101" s="85" t="s">
        <v>365</v>
      </c>
      <c r="L101" s="53" t="s">
        <v>216</v>
      </c>
      <c r="M101" s="53" t="s">
        <v>295</v>
      </c>
      <c r="N101" s="53"/>
      <c r="O101" s="85" t="s">
        <v>135</v>
      </c>
      <c r="P101" s="53">
        <v>1</v>
      </c>
      <c r="Q101" s="183">
        <v>5</v>
      </c>
      <c r="R101" s="84">
        <v>0.87050000000000005</v>
      </c>
      <c r="S101" s="53">
        <v>7.6</v>
      </c>
      <c r="T101" s="53"/>
      <c r="U101" s="53">
        <v>3</v>
      </c>
      <c r="V101" s="53">
        <v>480</v>
      </c>
      <c r="W101" s="53"/>
      <c r="X101" s="53"/>
      <c r="Y101" s="53"/>
      <c r="Z101" s="53"/>
      <c r="AA101" s="53"/>
      <c r="AB101" s="53"/>
      <c r="AC101" s="137" t="s">
        <v>124</v>
      </c>
      <c r="AD101" s="138" t="s">
        <v>118</v>
      </c>
      <c r="AE101" s="83">
        <v>8760</v>
      </c>
      <c r="AF101" s="139">
        <v>1</v>
      </c>
      <c r="AG101" s="139">
        <f t="shared" si="12"/>
        <v>0.82191780821917804</v>
      </c>
      <c r="AH101" s="139">
        <v>0.6</v>
      </c>
      <c r="AI101" s="139">
        <v>0.6</v>
      </c>
      <c r="AJ101" s="83">
        <f t="shared" si="13"/>
        <v>2880</v>
      </c>
      <c r="AK101" s="83">
        <f t="shared" si="14"/>
        <v>4320</v>
      </c>
      <c r="AL101" s="104">
        <f t="shared" si="15"/>
        <v>2.5709362435381959</v>
      </c>
      <c r="AM101" s="104">
        <f t="shared" si="16"/>
        <v>2.5709362435381959</v>
      </c>
      <c r="AN101" s="83">
        <f t="shared" si="17"/>
        <v>7404.2963813900042</v>
      </c>
      <c r="AO101" s="83">
        <f t="shared" si="18"/>
        <v>11106.444572085007</v>
      </c>
      <c r="AP101" s="182">
        <f t="shared" si="19"/>
        <v>25.264495854796088</v>
      </c>
      <c r="AQ101" s="182">
        <f t="shared" si="20"/>
        <v>37.896743782194136</v>
      </c>
      <c r="AR101" s="85"/>
      <c r="AS101" s="85"/>
      <c r="AT101" s="53"/>
      <c r="AU101" s="53"/>
      <c r="AV101" s="53"/>
      <c r="AW101" s="53"/>
      <c r="AX101" s="53"/>
      <c r="AY101" s="53"/>
      <c r="AZ101" s="53"/>
      <c r="BA101" s="53"/>
      <c r="BB101" s="53"/>
      <c r="BC101" s="111">
        <f t="shared" si="21"/>
        <v>7404.2963813900042</v>
      </c>
      <c r="BD101" s="111">
        <f t="shared" si="22"/>
        <v>11106.444572085007</v>
      </c>
    </row>
    <row r="102" spans="1:56" ht="15.75" x14ac:dyDescent="0.25">
      <c r="A102" s="53">
        <v>92</v>
      </c>
      <c r="B102" s="53"/>
      <c r="C102" s="53"/>
      <c r="D102" s="53" t="s">
        <v>135</v>
      </c>
      <c r="E102" s="53"/>
      <c r="F102" s="53"/>
      <c r="G102" s="53" t="s">
        <v>290</v>
      </c>
      <c r="H102" s="53" t="s">
        <v>291</v>
      </c>
      <c r="I102" s="85" t="s">
        <v>730</v>
      </c>
      <c r="J102" s="85" t="s">
        <v>731</v>
      </c>
      <c r="K102" s="85" t="s">
        <v>365</v>
      </c>
      <c r="L102" s="53" t="s">
        <v>216</v>
      </c>
      <c r="M102" s="53" t="s">
        <v>295</v>
      </c>
      <c r="N102" s="53"/>
      <c r="O102" s="85" t="s">
        <v>135</v>
      </c>
      <c r="P102" s="53">
        <v>1</v>
      </c>
      <c r="Q102" s="183">
        <v>5</v>
      </c>
      <c r="R102" s="84">
        <v>0.87050000000000005</v>
      </c>
      <c r="S102" s="53">
        <v>7.6</v>
      </c>
      <c r="T102" s="53"/>
      <c r="U102" s="53">
        <v>3</v>
      </c>
      <c r="V102" s="53">
        <v>480</v>
      </c>
      <c r="W102" s="53"/>
      <c r="X102" s="53"/>
      <c r="Y102" s="53"/>
      <c r="Z102" s="53"/>
      <c r="AA102" s="53"/>
      <c r="AB102" s="53"/>
      <c r="AC102" s="137" t="s">
        <v>124</v>
      </c>
      <c r="AD102" s="138" t="s">
        <v>118</v>
      </c>
      <c r="AE102" s="83">
        <v>8760</v>
      </c>
      <c r="AF102" s="139">
        <v>1</v>
      </c>
      <c r="AG102" s="139">
        <f t="shared" si="12"/>
        <v>0.82191780821917804</v>
      </c>
      <c r="AH102" s="139">
        <v>0.6</v>
      </c>
      <c r="AI102" s="139">
        <v>0.6</v>
      </c>
      <c r="AJ102" s="83">
        <f t="shared" si="13"/>
        <v>2880</v>
      </c>
      <c r="AK102" s="83">
        <f t="shared" si="14"/>
        <v>4320</v>
      </c>
      <c r="AL102" s="104">
        <f t="shared" si="15"/>
        <v>2.5709362435381959</v>
      </c>
      <c r="AM102" s="104">
        <f t="shared" si="16"/>
        <v>2.5709362435381959</v>
      </c>
      <c r="AN102" s="83">
        <f t="shared" si="17"/>
        <v>7404.2963813900042</v>
      </c>
      <c r="AO102" s="83">
        <f t="shared" si="18"/>
        <v>11106.444572085007</v>
      </c>
      <c r="AP102" s="182">
        <f t="shared" si="19"/>
        <v>25.264495854796088</v>
      </c>
      <c r="AQ102" s="182">
        <f t="shared" si="20"/>
        <v>37.896743782194136</v>
      </c>
      <c r="AR102" s="85"/>
      <c r="AS102" s="85"/>
      <c r="AT102" s="53"/>
      <c r="AU102" s="53"/>
      <c r="AV102" s="53"/>
      <c r="AW102" s="53"/>
      <c r="AX102" s="53"/>
      <c r="AY102" s="53"/>
      <c r="AZ102" s="53"/>
      <c r="BA102" s="53"/>
      <c r="BB102" s="53"/>
      <c r="BC102" s="111">
        <f t="shared" si="21"/>
        <v>7404.2963813900042</v>
      </c>
      <c r="BD102" s="111">
        <f t="shared" si="22"/>
        <v>11106.444572085007</v>
      </c>
    </row>
    <row r="103" spans="1:56" ht="15.75" x14ac:dyDescent="0.25">
      <c r="A103" s="53">
        <v>93</v>
      </c>
      <c r="B103" s="53"/>
      <c r="C103" s="53"/>
      <c r="D103" s="53" t="s">
        <v>135</v>
      </c>
      <c r="E103" s="53"/>
      <c r="F103" s="53"/>
      <c r="G103" s="53" t="s">
        <v>290</v>
      </c>
      <c r="H103" s="53" t="s">
        <v>291</v>
      </c>
      <c r="I103" s="85" t="s">
        <v>732</v>
      </c>
      <c r="J103" s="85" t="s">
        <v>733</v>
      </c>
      <c r="K103" s="85" t="s">
        <v>365</v>
      </c>
      <c r="L103" s="53" t="s">
        <v>216</v>
      </c>
      <c r="M103" s="53" t="s">
        <v>295</v>
      </c>
      <c r="N103" s="53"/>
      <c r="O103" s="85" t="s">
        <v>135</v>
      </c>
      <c r="P103" s="53">
        <v>1</v>
      </c>
      <c r="Q103" s="183">
        <v>5</v>
      </c>
      <c r="R103" s="84">
        <v>0.87050000000000005</v>
      </c>
      <c r="S103" s="53">
        <v>7.6</v>
      </c>
      <c r="T103" s="53"/>
      <c r="U103" s="53">
        <v>3</v>
      </c>
      <c r="V103" s="53">
        <v>480</v>
      </c>
      <c r="W103" s="53"/>
      <c r="X103" s="53"/>
      <c r="Y103" s="53"/>
      <c r="Z103" s="53"/>
      <c r="AA103" s="53"/>
      <c r="AB103" s="53"/>
      <c r="AC103" s="137" t="s">
        <v>124</v>
      </c>
      <c r="AD103" s="138" t="s">
        <v>118</v>
      </c>
      <c r="AE103" s="83">
        <v>8760</v>
      </c>
      <c r="AF103" s="139">
        <v>1</v>
      </c>
      <c r="AG103" s="139">
        <f t="shared" si="12"/>
        <v>0.82191780821917804</v>
      </c>
      <c r="AH103" s="139">
        <v>0.6</v>
      </c>
      <c r="AI103" s="139">
        <v>0.6</v>
      </c>
      <c r="AJ103" s="83">
        <f t="shared" si="13"/>
        <v>2880</v>
      </c>
      <c r="AK103" s="83">
        <f t="shared" si="14"/>
        <v>4320</v>
      </c>
      <c r="AL103" s="104">
        <f t="shared" si="15"/>
        <v>2.5709362435381959</v>
      </c>
      <c r="AM103" s="104">
        <f t="shared" si="16"/>
        <v>2.5709362435381959</v>
      </c>
      <c r="AN103" s="83">
        <f t="shared" si="17"/>
        <v>7404.2963813900042</v>
      </c>
      <c r="AO103" s="83">
        <f t="shared" si="18"/>
        <v>11106.444572085007</v>
      </c>
      <c r="AP103" s="182">
        <f t="shared" si="19"/>
        <v>25.264495854796088</v>
      </c>
      <c r="AQ103" s="182">
        <f t="shared" si="20"/>
        <v>37.896743782194136</v>
      </c>
      <c r="AR103" s="85"/>
      <c r="AS103" s="85"/>
      <c r="AT103" s="53"/>
      <c r="AU103" s="53"/>
      <c r="AV103" s="53"/>
      <c r="AW103" s="53"/>
      <c r="AX103" s="53"/>
      <c r="AY103" s="53"/>
      <c r="AZ103" s="53"/>
      <c r="BA103" s="53"/>
      <c r="BB103" s="53"/>
      <c r="BC103" s="111">
        <f t="shared" si="21"/>
        <v>7404.2963813900042</v>
      </c>
      <c r="BD103" s="111">
        <f t="shared" si="22"/>
        <v>11106.444572085007</v>
      </c>
    </row>
    <row r="104" spans="1:56" ht="15.75" x14ac:dyDescent="0.25">
      <c r="A104" s="53">
        <v>94</v>
      </c>
      <c r="B104" s="53"/>
      <c r="C104" s="53"/>
      <c r="D104" s="53" t="s">
        <v>135</v>
      </c>
      <c r="E104" s="53"/>
      <c r="F104" s="53"/>
      <c r="G104" s="53" t="s">
        <v>290</v>
      </c>
      <c r="H104" s="53" t="s">
        <v>291</v>
      </c>
      <c r="I104" s="85" t="s">
        <v>732</v>
      </c>
      <c r="J104" s="85" t="s">
        <v>733</v>
      </c>
      <c r="K104" s="85" t="s">
        <v>365</v>
      </c>
      <c r="L104" s="53" t="s">
        <v>216</v>
      </c>
      <c r="M104" s="53" t="s">
        <v>295</v>
      </c>
      <c r="N104" s="53"/>
      <c r="O104" s="85" t="s">
        <v>135</v>
      </c>
      <c r="P104" s="53">
        <v>1</v>
      </c>
      <c r="Q104" s="183">
        <v>5</v>
      </c>
      <c r="R104" s="84">
        <v>0.87050000000000005</v>
      </c>
      <c r="S104" s="53">
        <v>7.6</v>
      </c>
      <c r="T104" s="53"/>
      <c r="U104" s="53">
        <v>3</v>
      </c>
      <c r="V104" s="53">
        <v>480</v>
      </c>
      <c r="W104" s="53"/>
      <c r="X104" s="53"/>
      <c r="Y104" s="53"/>
      <c r="Z104" s="53"/>
      <c r="AA104" s="53"/>
      <c r="AB104" s="53"/>
      <c r="AC104" s="137" t="s">
        <v>124</v>
      </c>
      <c r="AD104" s="138" t="s">
        <v>118</v>
      </c>
      <c r="AE104" s="83">
        <v>8760</v>
      </c>
      <c r="AF104" s="139">
        <v>1</v>
      </c>
      <c r="AG104" s="139">
        <f t="shared" si="12"/>
        <v>0.82191780821917804</v>
      </c>
      <c r="AH104" s="139">
        <v>0.6</v>
      </c>
      <c r="AI104" s="139">
        <v>0.6</v>
      </c>
      <c r="AJ104" s="83">
        <f t="shared" si="13"/>
        <v>2880</v>
      </c>
      <c r="AK104" s="83">
        <f t="shared" si="14"/>
        <v>4320</v>
      </c>
      <c r="AL104" s="104">
        <f t="shared" si="15"/>
        <v>2.5709362435381959</v>
      </c>
      <c r="AM104" s="104">
        <f t="shared" si="16"/>
        <v>2.5709362435381959</v>
      </c>
      <c r="AN104" s="83">
        <f t="shared" si="17"/>
        <v>7404.2963813900042</v>
      </c>
      <c r="AO104" s="83">
        <f t="shared" si="18"/>
        <v>11106.444572085007</v>
      </c>
      <c r="AP104" s="182">
        <f t="shared" si="19"/>
        <v>25.264495854796088</v>
      </c>
      <c r="AQ104" s="182">
        <f t="shared" si="20"/>
        <v>37.896743782194136</v>
      </c>
      <c r="AR104" s="85"/>
      <c r="AS104" s="85"/>
      <c r="AT104" s="53"/>
      <c r="AU104" s="53"/>
      <c r="AV104" s="53"/>
      <c r="AW104" s="53"/>
      <c r="AX104" s="53"/>
      <c r="AY104" s="53"/>
      <c r="AZ104" s="53"/>
      <c r="BA104" s="53"/>
      <c r="BB104" s="53"/>
      <c r="BC104" s="111">
        <f t="shared" si="21"/>
        <v>7404.2963813900042</v>
      </c>
      <c r="BD104" s="111">
        <f t="shared" si="22"/>
        <v>11106.444572085007</v>
      </c>
    </row>
    <row r="105" spans="1:56" ht="15.75" x14ac:dyDescent="0.25">
      <c r="A105" s="53">
        <v>95</v>
      </c>
      <c r="B105" s="53"/>
      <c r="C105" s="53"/>
      <c r="D105" s="53" t="s">
        <v>135</v>
      </c>
      <c r="E105" s="53"/>
      <c r="F105" s="53"/>
      <c r="G105" s="53" t="s">
        <v>290</v>
      </c>
      <c r="H105" s="53" t="s">
        <v>291</v>
      </c>
      <c r="I105" s="85" t="s">
        <v>732</v>
      </c>
      <c r="J105" s="85" t="s">
        <v>733</v>
      </c>
      <c r="K105" s="85" t="s">
        <v>365</v>
      </c>
      <c r="L105" s="53" t="s">
        <v>216</v>
      </c>
      <c r="M105" s="53" t="s">
        <v>295</v>
      </c>
      <c r="N105" s="53"/>
      <c r="O105" s="85" t="s">
        <v>135</v>
      </c>
      <c r="P105" s="53">
        <v>1</v>
      </c>
      <c r="Q105" s="183">
        <v>5</v>
      </c>
      <c r="R105" s="84">
        <v>0.87050000000000005</v>
      </c>
      <c r="S105" s="53">
        <v>7.6</v>
      </c>
      <c r="T105" s="53"/>
      <c r="U105" s="53">
        <v>3</v>
      </c>
      <c r="V105" s="53">
        <v>480</v>
      </c>
      <c r="W105" s="53"/>
      <c r="X105" s="53"/>
      <c r="Y105" s="53"/>
      <c r="Z105" s="53"/>
      <c r="AA105" s="53"/>
      <c r="AB105" s="53"/>
      <c r="AC105" s="137" t="s">
        <v>124</v>
      </c>
      <c r="AD105" s="138" t="s">
        <v>118</v>
      </c>
      <c r="AE105" s="83">
        <v>8760</v>
      </c>
      <c r="AF105" s="139">
        <v>1</v>
      </c>
      <c r="AG105" s="139">
        <f t="shared" si="12"/>
        <v>0.82191780821917804</v>
      </c>
      <c r="AH105" s="139">
        <v>0.6</v>
      </c>
      <c r="AI105" s="139">
        <v>0.6</v>
      </c>
      <c r="AJ105" s="83">
        <f t="shared" si="13"/>
        <v>2880</v>
      </c>
      <c r="AK105" s="83">
        <f t="shared" si="14"/>
        <v>4320</v>
      </c>
      <c r="AL105" s="104">
        <f t="shared" si="15"/>
        <v>2.5709362435381959</v>
      </c>
      <c r="AM105" s="104">
        <f t="shared" si="16"/>
        <v>2.5709362435381959</v>
      </c>
      <c r="AN105" s="83">
        <f t="shared" si="17"/>
        <v>7404.2963813900042</v>
      </c>
      <c r="AO105" s="83">
        <f t="shared" si="18"/>
        <v>11106.444572085007</v>
      </c>
      <c r="AP105" s="182">
        <f t="shared" si="19"/>
        <v>25.264495854796088</v>
      </c>
      <c r="AQ105" s="182">
        <f t="shared" si="20"/>
        <v>37.896743782194136</v>
      </c>
      <c r="AR105" s="85"/>
      <c r="AS105" s="85"/>
      <c r="AT105" s="53"/>
      <c r="AU105" s="53"/>
      <c r="AV105" s="53"/>
      <c r="AW105" s="53"/>
      <c r="AX105" s="53"/>
      <c r="AY105" s="53"/>
      <c r="AZ105" s="53"/>
      <c r="BA105" s="53"/>
      <c r="BB105" s="53"/>
      <c r="BC105" s="111">
        <f t="shared" si="21"/>
        <v>7404.2963813900042</v>
      </c>
      <c r="BD105" s="111">
        <f t="shared" si="22"/>
        <v>11106.444572085007</v>
      </c>
    </row>
    <row r="106" spans="1:56" ht="15.75" x14ac:dyDescent="0.25">
      <c r="A106" s="53">
        <v>96</v>
      </c>
      <c r="B106" s="53"/>
      <c r="C106" s="53"/>
      <c r="D106" s="53" t="s">
        <v>135</v>
      </c>
      <c r="E106" s="53"/>
      <c r="F106" s="53"/>
      <c r="G106" s="53" t="s">
        <v>290</v>
      </c>
      <c r="H106" s="53" t="s">
        <v>291</v>
      </c>
      <c r="I106" s="85" t="s">
        <v>732</v>
      </c>
      <c r="J106" s="85" t="s">
        <v>733</v>
      </c>
      <c r="K106" s="85" t="s">
        <v>365</v>
      </c>
      <c r="L106" s="53" t="s">
        <v>216</v>
      </c>
      <c r="M106" s="53" t="s">
        <v>295</v>
      </c>
      <c r="N106" s="53"/>
      <c r="O106" s="85" t="s">
        <v>135</v>
      </c>
      <c r="P106" s="53">
        <v>1</v>
      </c>
      <c r="Q106" s="183">
        <v>5</v>
      </c>
      <c r="R106" s="84">
        <v>0.87050000000000005</v>
      </c>
      <c r="S106" s="53">
        <v>7.6</v>
      </c>
      <c r="T106" s="53"/>
      <c r="U106" s="53">
        <v>3</v>
      </c>
      <c r="V106" s="53">
        <v>480</v>
      </c>
      <c r="W106" s="53"/>
      <c r="X106" s="53"/>
      <c r="Y106" s="53"/>
      <c r="Z106" s="53"/>
      <c r="AA106" s="53"/>
      <c r="AB106" s="53"/>
      <c r="AC106" s="137" t="s">
        <v>124</v>
      </c>
      <c r="AD106" s="138" t="s">
        <v>118</v>
      </c>
      <c r="AE106" s="83">
        <v>8760</v>
      </c>
      <c r="AF106" s="139">
        <v>1</v>
      </c>
      <c r="AG106" s="139">
        <f t="shared" si="12"/>
        <v>0.82191780821917804</v>
      </c>
      <c r="AH106" s="139">
        <v>0.6</v>
      </c>
      <c r="AI106" s="139">
        <v>0.6</v>
      </c>
      <c r="AJ106" s="83">
        <f t="shared" si="13"/>
        <v>2880</v>
      </c>
      <c r="AK106" s="83">
        <f t="shared" si="14"/>
        <v>4320</v>
      </c>
      <c r="AL106" s="104">
        <f t="shared" si="15"/>
        <v>2.5709362435381959</v>
      </c>
      <c r="AM106" s="104">
        <f t="shared" si="16"/>
        <v>2.5709362435381959</v>
      </c>
      <c r="AN106" s="83">
        <f t="shared" si="17"/>
        <v>7404.2963813900042</v>
      </c>
      <c r="AO106" s="83">
        <f t="shared" si="18"/>
        <v>11106.444572085007</v>
      </c>
      <c r="AP106" s="182">
        <f t="shared" si="19"/>
        <v>25.264495854796088</v>
      </c>
      <c r="AQ106" s="182">
        <f t="shared" si="20"/>
        <v>37.896743782194136</v>
      </c>
      <c r="AR106" s="85"/>
      <c r="AS106" s="85"/>
      <c r="AT106" s="53"/>
      <c r="AU106" s="53"/>
      <c r="AV106" s="53"/>
      <c r="AW106" s="53"/>
      <c r="AX106" s="53"/>
      <c r="AY106" s="53"/>
      <c r="AZ106" s="53"/>
      <c r="BA106" s="53"/>
      <c r="BB106" s="53"/>
      <c r="BC106" s="111">
        <f t="shared" si="21"/>
        <v>7404.2963813900042</v>
      </c>
      <c r="BD106" s="111">
        <f t="shared" si="22"/>
        <v>11106.444572085007</v>
      </c>
    </row>
    <row r="107" spans="1:56" ht="15.75" x14ac:dyDescent="0.25">
      <c r="A107" s="53">
        <v>97</v>
      </c>
      <c r="B107" s="53"/>
      <c r="C107" s="53"/>
      <c r="D107" s="53" t="s">
        <v>135</v>
      </c>
      <c r="E107" s="53"/>
      <c r="F107" s="53"/>
      <c r="G107" s="53" t="s">
        <v>290</v>
      </c>
      <c r="H107" s="53" t="s">
        <v>291</v>
      </c>
      <c r="I107" s="85" t="s">
        <v>481</v>
      </c>
      <c r="J107" s="85" t="s">
        <v>482</v>
      </c>
      <c r="K107" s="85" t="s">
        <v>393</v>
      </c>
      <c r="L107" s="53" t="s">
        <v>216</v>
      </c>
      <c r="M107" s="53" t="s">
        <v>295</v>
      </c>
      <c r="N107" s="53"/>
      <c r="O107" s="85" t="s">
        <v>135</v>
      </c>
      <c r="P107" s="53">
        <v>1</v>
      </c>
      <c r="Q107" s="183">
        <v>30</v>
      </c>
      <c r="R107" s="84">
        <v>0.90850000000000009</v>
      </c>
      <c r="S107" s="53">
        <v>40</v>
      </c>
      <c r="T107" s="53"/>
      <c r="U107" s="53">
        <v>3</v>
      </c>
      <c r="V107" s="53">
        <v>480</v>
      </c>
      <c r="W107" s="53"/>
      <c r="X107" s="53"/>
      <c r="Y107" s="53"/>
      <c r="Z107" s="53"/>
      <c r="AA107" s="53"/>
      <c r="AB107" s="53"/>
      <c r="AC107" s="137" t="s">
        <v>124</v>
      </c>
      <c r="AD107" s="138" t="s">
        <v>118</v>
      </c>
      <c r="AE107" s="83">
        <v>8760</v>
      </c>
      <c r="AF107" s="139">
        <v>1</v>
      </c>
      <c r="AG107" s="139">
        <f t="shared" ref="AG107:AG138" si="23">$AB$7</f>
        <v>0.82191780821917804</v>
      </c>
      <c r="AH107" s="139">
        <v>0.6</v>
      </c>
      <c r="AI107" s="139">
        <v>0.6</v>
      </c>
      <c r="AJ107" s="83">
        <f t="shared" si="13"/>
        <v>2880</v>
      </c>
      <c r="AK107" s="83">
        <f t="shared" si="14"/>
        <v>4320</v>
      </c>
      <c r="AL107" s="104">
        <f t="shared" si="15"/>
        <v>14.780407264722067</v>
      </c>
      <c r="AM107" s="104">
        <f t="shared" si="16"/>
        <v>14.780407264722067</v>
      </c>
      <c r="AN107" s="83">
        <f t="shared" si="17"/>
        <v>42567.572922399551</v>
      </c>
      <c r="AO107" s="83">
        <f t="shared" si="18"/>
        <v>63851.359383599331</v>
      </c>
      <c r="AP107" s="182">
        <f t="shared" si="19"/>
        <v>145.2465182714364</v>
      </c>
      <c r="AQ107" s="182">
        <f t="shared" si="20"/>
        <v>217.86977740715463</v>
      </c>
      <c r="AR107" s="85"/>
      <c r="AS107" s="85"/>
      <c r="AT107" s="53"/>
      <c r="AU107" s="53"/>
      <c r="AV107" s="53"/>
      <c r="AW107" s="53"/>
      <c r="AX107" s="53"/>
      <c r="AY107" s="53"/>
      <c r="AZ107" s="53"/>
      <c r="BA107" s="53"/>
      <c r="BB107" s="53"/>
      <c r="BC107" s="111">
        <f t="shared" si="21"/>
        <v>42567.572922399551</v>
      </c>
      <c r="BD107" s="111">
        <f t="shared" si="22"/>
        <v>63851.359383599331</v>
      </c>
    </row>
    <row r="108" spans="1:56" ht="21" customHeight="1" x14ac:dyDescent="0.25">
      <c r="A108" s="53">
        <v>98</v>
      </c>
      <c r="B108" s="53"/>
      <c r="C108" s="53"/>
      <c r="D108" s="53" t="s">
        <v>135</v>
      </c>
      <c r="E108" s="53"/>
      <c r="F108" s="53"/>
      <c r="G108" s="53" t="s">
        <v>290</v>
      </c>
      <c r="H108" s="53" t="s">
        <v>291</v>
      </c>
      <c r="I108" s="85" t="s">
        <v>532</v>
      </c>
      <c r="J108" s="85" t="s">
        <v>533</v>
      </c>
      <c r="K108" s="85" t="s">
        <v>448</v>
      </c>
      <c r="L108" s="53" t="s">
        <v>216</v>
      </c>
      <c r="M108" s="53" t="s">
        <v>252</v>
      </c>
      <c r="N108" s="53"/>
      <c r="O108" s="85" t="s">
        <v>135</v>
      </c>
      <c r="P108" s="53">
        <v>1</v>
      </c>
      <c r="Q108" s="183">
        <v>20</v>
      </c>
      <c r="R108" s="84">
        <v>0.89700000000000002</v>
      </c>
      <c r="S108" s="53">
        <v>27</v>
      </c>
      <c r="T108" s="53"/>
      <c r="U108" s="53">
        <v>3</v>
      </c>
      <c r="V108" s="53">
        <v>480</v>
      </c>
      <c r="W108" s="53"/>
      <c r="X108" s="53"/>
      <c r="Y108" s="53"/>
      <c r="Z108" s="53"/>
      <c r="AA108" s="53"/>
      <c r="AB108" s="53"/>
      <c r="AC108" s="137" t="s">
        <v>124</v>
      </c>
      <c r="AD108" s="138" t="s">
        <v>118</v>
      </c>
      <c r="AE108" s="83">
        <v>8760</v>
      </c>
      <c r="AF108" s="139">
        <v>1</v>
      </c>
      <c r="AG108" s="139">
        <f t="shared" si="23"/>
        <v>0.82191780821917804</v>
      </c>
      <c r="AH108" s="139">
        <v>0.6</v>
      </c>
      <c r="AI108" s="139">
        <v>0.6</v>
      </c>
      <c r="AJ108" s="83">
        <f t="shared" si="13"/>
        <v>2880</v>
      </c>
      <c r="AK108" s="83">
        <f t="shared" si="14"/>
        <v>4320</v>
      </c>
      <c r="AL108" s="104">
        <f t="shared" si="15"/>
        <v>9.9799331103678917</v>
      </c>
      <c r="AM108" s="104">
        <f t="shared" si="16"/>
        <v>9.9799331103678917</v>
      </c>
      <c r="AN108" s="83">
        <f t="shared" si="17"/>
        <v>28742.207357859526</v>
      </c>
      <c r="AO108" s="83">
        <f t="shared" si="18"/>
        <v>43113.311036789295</v>
      </c>
      <c r="AP108" s="182">
        <f t="shared" si="19"/>
        <v>98.072435414046794</v>
      </c>
      <c r="AQ108" s="182">
        <f t="shared" si="20"/>
        <v>147.1086531210702</v>
      </c>
      <c r="AR108" s="85"/>
      <c r="AS108" s="85"/>
      <c r="AT108" s="53"/>
      <c r="AU108" s="53"/>
      <c r="AV108" s="107"/>
      <c r="AW108" s="53"/>
      <c r="AX108" s="53"/>
      <c r="AY108" s="53"/>
      <c r="AZ108" s="53"/>
      <c r="BA108" s="53"/>
      <c r="BB108" s="53"/>
      <c r="BC108" s="111">
        <f t="shared" si="21"/>
        <v>28742.207357859526</v>
      </c>
      <c r="BD108" s="111">
        <f t="shared" si="22"/>
        <v>43113.311036789295</v>
      </c>
    </row>
    <row r="109" spans="1:56" ht="21" customHeight="1" x14ac:dyDescent="0.25">
      <c r="A109" s="53">
        <v>99</v>
      </c>
      <c r="B109" s="53"/>
      <c r="C109" s="53"/>
      <c r="D109" s="53" t="s">
        <v>135</v>
      </c>
      <c r="E109" s="53"/>
      <c r="F109" s="53"/>
      <c r="G109" s="53" t="s">
        <v>290</v>
      </c>
      <c r="H109" s="53" t="s">
        <v>291</v>
      </c>
      <c r="I109" s="85" t="s">
        <v>534</v>
      </c>
      <c r="J109" s="85" t="s">
        <v>535</v>
      </c>
      <c r="K109" s="85" t="s">
        <v>448</v>
      </c>
      <c r="L109" s="53" t="s">
        <v>216</v>
      </c>
      <c r="M109" s="53" t="s">
        <v>252</v>
      </c>
      <c r="N109" s="53"/>
      <c r="O109" s="85" t="s">
        <v>135</v>
      </c>
      <c r="P109" s="53">
        <v>1</v>
      </c>
      <c r="Q109" s="183">
        <v>20</v>
      </c>
      <c r="R109" s="84">
        <v>0.89700000000000002</v>
      </c>
      <c r="S109" s="53">
        <v>27</v>
      </c>
      <c r="T109" s="53"/>
      <c r="U109" s="53">
        <v>3</v>
      </c>
      <c r="V109" s="53">
        <v>480</v>
      </c>
      <c r="W109" s="53"/>
      <c r="X109" s="53"/>
      <c r="Y109" s="53"/>
      <c r="Z109" s="53"/>
      <c r="AA109" s="53"/>
      <c r="AB109" s="53"/>
      <c r="AC109" s="137" t="s">
        <v>124</v>
      </c>
      <c r="AD109" s="138" t="s">
        <v>118</v>
      </c>
      <c r="AE109" s="83">
        <v>8760</v>
      </c>
      <c r="AF109" s="139">
        <v>1</v>
      </c>
      <c r="AG109" s="139">
        <f t="shared" si="23"/>
        <v>0.82191780821917804</v>
      </c>
      <c r="AH109" s="139">
        <v>0.6</v>
      </c>
      <c r="AI109" s="139">
        <v>0.6</v>
      </c>
      <c r="AJ109" s="83">
        <f t="shared" si="13"/>
        <v>2880</v>
      </c>
      <c r="AK109" s="83">
        <f t="shared" si="14"/>
        <v>4320</v>
      </c>
      <c r="AL109" s="104">
        <f t="shared" si="15"/>
        <v>9.9799331103678917</v>
      </c>
      <c r="AM109" s="104">
        <f t="shared" si="16"/>
        <v>9.9799331103678917</v>
      </c>
      <c r="AN109" s="83">
        <f t="shared" si="17"/>
        <v>28742.207357859526</v>
      </c>
      <c r="AO109" s="83">
        <f t="shared" si="18"/>
        <v>43113.311036789295</v>
      </c>
      <c r="AP109" s="182">
        <f t="shared" si="19"/>
        <v>98.072435414046794</v>
      </c>
      <c r="AQ109" s="182">
        <f t="shared" si="20"/>
        <v>147.1086531210702</v>
      </c>
      <c r="AR109" s="85"/>
      <c r="AS109" s="85"/>
      <c r="AT109" s="53"/>
      <c r="AU109" s="53"/>
      <c r="AV109" s="107"/>
      <c r="AW109" s="53"/>
      <c r="AX109" s="53"/>
      <c r="AY109" s="53"/>
      <c r="AZ109" s="53"/>
      <c r="BA109" s="53"/>
      <c r="BB109" s="53"/>
      <c r="BC109" s="111">
        <f t="shared" si="21"/>
        <v>28742.207357859526</v>
      </c>
      <c r="BD109" s="111">
        <f t="shared" si="22"/>
        <v>43113.311036789295</v>
      </c>
    </row>
    <row r="110" spans="1:56" ht="21" customHeight="1" x14ac:dyDescent="0.25">
      <c r="A110" s="53">
        <v>100</v>
      </c>
      <c r="B110" s="53"/>
      <c r="C110" s="53"/>
      <c r="D110" s="53" t="s">
        <v>135</v>
      </c>
      <c r="E110" s="53"/>
      <c r="F110" s="53"/>
      <c r="G110" s="53" t="s">
        <v>290</v>
      </c>
      <c r="H110" s="53" t="s">
        <v>291</v>
      </c>
      <c r="I110" s="85" t="s">
        <v>534</v>
      </c>
      <c r="J110" s="85" t="s">
        <v>536</v>
      </c>
      <c r="K110" s="85" t="s">
        <v>448</v>
      </c>
      <c r="L110" s="53" t="s">
        <v>216</v>
      </c>
      <c r="M110" s="53" t="s">
        <v>252</v>
      </c>
      <c r="N110" s="53"/>
      <c r="O110" s="85" t="s">
        <v>135</v>
      </c>
      <c r="P110" s="53">
        <v>1</v>
      </c>
      <c r="Q110" s="183">
        <v>20</v>
      </c>
      <c r="R110" s="84">
        <v>0.89700000000000002</v>
      </c>
      <c r="S110" s="53">
        <v>27</v>
      </c>
      <c r="T110" s="53"/>
      <c r="U110" s="53">
        <v>3</v>
      </c>
      <c r="V110" s="53">
        <v>480</v>
      </c>
      <c r="W110" s="53"/>
      <c r="X110" s="53"/>
      <c r="Y110" s="53"/>
      <c r="Z110" s="53"/>
      <c r="AA110" s="53"/>
      <c r="AB110" s="53"/>
      <c r="AC110" s="137" t="s">
        <v>124</v>
      </c>
      <c r="AD110" s="138" t="s">
        <v>118</v>
      </c>
      <c r="AE110" s="83">
        <v>8760</v>
      </c>
      <c r="AF110" s="139">
        <v>1</v>
      </c>
      <c r="AG110" s="139">
        <f t="shared" si="23"/>
        <v>0.82191780821917804</v>
      </c>
      <c r="AH110" s="139">
        <v>0.6</v>
      </c>
      <c r="AI110" s="139">
        <v>0.6</v>
      </c>
      <c r="AJ110" s="83">
        <f t="shared" si="13"/>
        <v>2880</v>
      </c>
      <c r="AK110" s="83">
        <f t="shared" si="14"/>
        <v>4320</v>
      </c>
      <c r="AL110" s="104">
        <f t="shared" si="15"/>
        <v>9.9799331103678917</v>
      </c>
      <c r="AM110" s="104">
        <f t="shared" si="16"/>
        <v>9.9799331103678917</v>
      </c>
      <c r="AN110" s="83">
        <f t="shared" si="17"/>
        <v>28742.207357859526</v>
      </c>
      <c r="AO110" s="83">
        <f t="shared" si="18"/>
        <v>43113.311036789295</v>
      </c>
      <c r="AP110" s="182">
        <f t="shared" si="19"/>
        <v>98.072435414046794</v>
      </c>
      <c r="AQ110" s="182">
        <f t="shared" si="20"/>
        <v>147.1086531210702</v>
      </c>
      <c r="AR110" s="85"/>
      <c r="AS110" s="85"/>
      <c r="AT110" s="53"/>
      <c r="AU110" s="53"/>
      <c r="AV110" s="107"/>
      <c r="AW110" s="53"/>
      <c r="AX110" s="53"/>
      <c r="AY110" s="53"/>
      <c r="AZ110" s="53"/>
      <c r="BA110" s="53"/>
      <c r="BB110" s="53"/>
      <c r="BC110" s="111">
        <f t="shared" si="21"/>
        <v>28742.207357859526</v>
      </c>
      <c r="BD110" s="111">
        <f t="shared" si="22"/>
        <v>43113.311036789295</v>
      </c>
    </row>
    <row r="111" spans="1:56" ht="21" customHeight="1" x14ac:dyDescent="0.25">
      <c r="A111" s="53">
        <v>101</v>
      </c>
      <c r="B111" s="53"/>
      <c r="C111" s="53"/>
      <c r="D111" s="53" t="s">
        <v>135</v>
      </c>
      <c r="E111" s="53"/>
      <c r="F111" s="53"/>
      <c r="G111" s="53" t="s">
        <v>290</v>
      </c>
      <c r="H111" s="53" t="s">
        <v>291</v>
      </c>
      <c r="I111" s="85" t="s">
        <v>534</v>
      </c>
      <c r="J111" s="85" t="s">
        <v>740</v>
      </c>
      <c r="K111" s="85" t="s">
        <v>448</v>
      </c>
      <c r="L111" s="53" t="s">
        <v>216</v>
      </c>
      <c r="M111" s="53" t="s">
        <v>252</v>
      </c>
      <c r="N111" s="53"/>
      <c r="O111" s="85" t="s">
        <v>135</v>
      </c>
      <c r="P111" s="53">
        <v>1</v>
      </c>
      <c r="Q111" s="183">
        <v>5</v>
      </c>
      <c r="R111" s="84">
        <v>0.87050000000000005</v>
      </c>
      <c r="S111" s="53">
        <v>7.6</v>
      </c>
      <c r="T111" s="53"/>
      <c r="U111" s="53">
        <v>3</v>
      </c>
      <c r="V111" s="53">
        <v>480</v>
      </c>
      <c r="W111" s="53"/>
      <c r="X111" s="53"/>
      <c r="Y111" s="53"/>
      <c r="Z111" s="53"/>
      <c r="AA111" s="53"/>
      <c r="AB111" s="53"/>
      <c r="AC111" s="137" t="s">
        <v>124</v>
      </c>
      <c r="AD111" s="138" t="s">
        <v>118</v>
      </c>
      <c r="AE111" s="83">
        <v>8760</v>
      </c>
      <c r="AF111" s="139">
        <v>1</v>
      </c>
      <c r="AG111" s="139">
        <f t="shared" si="23"/>
        <v>0.82191780821917804</v>
      </c>
      <c r="AH111" s="139">
        <v>0.6</v>
      </c>
      <c r="AI111" s="139">
        <v>0.6</v>
      </c>
      <c r="AJ111" s="83">
        <f t="shared" si="13"/>
        <v>2880</v>
      </c>
      <c r="AK111" s="83">
        <f t="shared" si="14"/>
        <v>4320</v>
      </c>
      <c r="AL111" s="104">
        <f t="shared" si="15"/>
        <v>2.5709362435381959</v>
      </c>
      <c r="AM111" s="104">
        <f t="shared" si="16"/>
        <v>2.5709362435381959</v>
      </c>
      <c r="AN111" s="83">
        <f t="shared" si="17"/>
        <v>7404.2963813900042</v>
      </c>
      <c r="AO111" s="83">
        <f t="shared" si="18"/>
        <v>11106.444572085007</v>
      </c>
      <c r="AP111" s="182">
        <f t="shared" si="19"/>
        <v>25.264495854796088</v>
      </c>
      <c r="AQ111" s="182">
        <f t="shared" si="20"/>
        <v>37.896743782194136</v>
      </c>
      <c r="AR111" s="85"/>
      <c r="AS111" s="85"/>
      <c r="AT111" s="53"/>
      <c r="AU111" s="53"/>
      <c r="AV111" s="107"/>
      <c r="AW111" s="53"/>
      <c r="AX111" s="53"/>
      <c r="AY111" s="53"/>
      <c r="AZ111" s="53"/>
      <c r="BA111" s="53"/>
      <c r="BB111" s="53"/>
      <c r="BC111" s="111">
        <f t="shared" si="21"/>
        <v>7404.2963813900042</v>
      </c>
      <c r="BD111" s="111">
        <f t="shared" si="22"/>
        <v>11106.444572085007</v>
      </c>
    </row>
    <row r="112" spans="1:56" ht="21" customHeight="1" x14ac:dyDescent="0.25">
      <c r="A112" s="53">
        <v>102</v>
      </c>
      <c r="B112" s="53"/>
      <c r="C112" s="53"/>
      <c r="D112" s="53" t="s">
        <v>135</v>
      </c>
      <c r="E112" s="53"/>
      <c r="F112" s="53"/>
      <c r="G112" s="53" t="s">
        <v>290</v>
      </c>
      <c r="H112" s="53" t="s">
        <v>291</v>
      </c>
      <c r="I112" s="85" t="s">
        <v>537</v>
      </c>
      <c r="J112" s="85" t="s">
        <v>538</v>
      </c>
      <c r="K112" s="85" t="s">
        <v>448</v>
      </c>
      <c r="L112" s="53" t="s">
        <v>216</v>
      </c>
      <c r="M112" s="53" t="s">
        <v>252</v>
      </c>
      <c r="N112" s="53"/>
      <c r="O112" s="85" t="s">
        <v>135</v>
      </c>
      <c r="P112" s="53">
        <v>1</v>
      </c>
      <c r="Q112" s="183">
        <v>20</v>
      </c>
      <c r="R112" s="84">
        <v>0.89700000000000002</v>
      </c>
      <c r="S112" s="53">
        <v>27</v>
      </c>
      <c r="T112" s="53"/>
      <c r="U112" s="53">
        <v>3</v>
      </c>
      <c r="V112" s="53">
        <v>480</v>
      </c>
      <c r="W112" s="53"/>
      <c r="X112" s="53"/>
      <c r="Y112" s="53"/>
      <c r="Z112" s="53"/>
      <c r="AA112" s="53"/>
      <c r="AB112" s="53"/>
      <c r="AC112" s="137" t="s">
        <v>124</v>
      </c>
      <c r="AD112" s="138" t="s">
        <v>118</v>
      </c>
      <c r="AE112" s="83">
        <v>8760</v>
      </c>
      <c r="AF112" s="139">
        <v>1</v>
      </c>
      <c r="AG112" s="139">
        <f t="shared" si="23"/>
        <v>0.82191780821917804</v>
      </c>
      <c r="AH112" s="139">
        <v>0.6</v>
      </c>
      <c r="AI112" s="139">
        <v>0.6</v>
      </c>
      <c r="AJ112" s="83">
        <f t="shared" si="13"/>
        <v>2880</v>
      </c>
      <c r="AK112" s="83">
        <f t="shared" si="14"/>
        <v>4320</v>
      </c>
      <c r="AL112" s="104">
        <f t="shared" si="15"/>
        <v>9.9799331103678917</v>
      </c>
      <c r="AM112" s="104">
        <f t="shared" si="16"/>
        <v>9.9799331103678917</v>
      </c>
      <c r="AN112" s="83">
        <f t="shared" si="17"/>
        <v>28742.207357859526</v>
      </c>
      <c r="AO112" s="83">
        <f t="shared" si="18"/>
        <v>43113.311036789295</v>
      </c>
      <c r="AP112" s="182">
        <f t="shared" si="19"/>
        <v>98.072435414046794</v>
      </c>
      <c r="AQ112" s="182">
        <f t="shared" si="20"/>
        <v>147.1086531210702</v>
      </c>
      <c r="AR112" s="85"/>
      <c r="AS112" s="85"/>
      <c r="AT112" s="53"/>
      <c r="AU112" s="53"/>
      <c r="AV112" s="107"/>
      <c r="AW112" s="53"/>
      <c r="AX112" s="53"/>
      <c r="AY112" s="53"/>
      <c r="AZ112" s="53"/>
      <c r="BA112" s="53"/>
      <c r="BB112" s="53"/>
      <c r="BC112" s="111">
        <f t="shared" si="21"/>
        <v>28742.207357859526</v>
      </c>
      <c r="BD112" s="111">
        <f t="shared" si="22"/>
        <v>43113.311036789295</v>
      </c>
    </row>
    <row r="113" spans="1:56" ht="21" customHeight="1" x14ac:dyDescent="0.25">
      <c r="A113" s="53">
        <v>103</v>
      </c>
      <c r="B113" s="53"/>
      <c r="C113" s="53"/>
      <c r="D113" s="53" t="s">
        <v>135</v>
      </c>
      <c r="E113" s="53"/>
      <c r="F113" s="53"/>
      <c r="G113" s="53" t="s">
        <v>290</v>
      </c>
      <c r="H113" s="53" t="s">
        <v>291</v>
      </c>
      <c r="I113" s="85" t="s">
        <v>537</v>
      </c>
      <c r="J113" s="85" t="s">
        <v>659</v>
      </c>
      <c r="K113" s="85" t="s">
        <v>448</v>
      </c>
      <c r="L113" s="53" t="s">
        <v>216</v>
      </c>
      <c r="M113" s="53" t="s">
        <v>252</v>
      </c>
      <c r="N113" s="53"/>
      <c r="O113" s="85" t="s">
        <v>135</v>
      </c>
      <c r="P113" s="53">
        <v>1</v>
      </c>
      <c r="Q113" s="183">
        <v>10</v>
      </c>
      <c r="R113" s="84">
        <v>0.87050000000000005</v>
      </c>
      <c r="S113" s="53">
        <v>14</v>
      </c>
      <c r="T113" s="53"/>
      <c r="U113" s="53">
        <v>3</v>
      </c>
      <c r="V113" s="53">
        <v>480</v>
      </c>
      <c r="W113" s="53"/>
      <c r="X113" s="53"/>
      <c r="Y113" s="53"/>
      <c r="Z113" s="53"/>
      <c r="AA113" s="53"/>
      <c r="AB113" s="53"/>
      <c r="AC113" s="137" t="s">
        <v>124</v>
      </c>
      <c r="AD113" s="138" t="s">
        <v>118</v>
      </c>
      <c r="AE113" s="83">
        <v>8760</v>
      </c>
      <c r="AF113" s="139">
        <v>1</v>
      </c>
      <c r="AG113" s="139">
        <f t="shared" si="23"/>
        <v>0.82191780821917804</v>
      </c>
      <c r="AH113" s="139">
        <v>0.6</v>
      </c>
      <c r="AI113" s="139">
        <v>0.6</v>
      </c>
      <c r="AJ113" s="83">
        <f t="shared" si="13"/>
        <v>2880</v>
      </c>
      <c r="AK113" s="83">
        <f t="shared" si="14"/>
        <v>4320</v>
      </c>
      <c r="AL113" s="104">
        <f t="shared" si="15"/>
        <v>5.1418724870763919</v>
      </c>
      <c r="AM113" s="104">
        <f t="shared" si="16"/>
        <v>5.1418724870763919</v>
      </c>
      <c r="AN113" s="83">
        <f t="shared" si="17"/>
        <v>14808.592762780008</v>
      </c>
      <c r="AO113" s="83">
        <f t="shared" si="18"/>
        <v>22212.889144170014</v>
      </c>
      <c r="AP113" s="182">
        <f t="shared" si="19"/>
        <v>50.528991709592177</v>
      </c>
      <c r="AQ113" s="182">
        <f t="shared" si="20"/>
        <v>75.793487564388272</v>
      </c>
      <c r="AR113" s="85"/>
      <c r="AS113" s="85"/>
      <c r="AT113" s="53"/>
      <c r="AU113" s="53"/>
      <c r="AV113" s="107"/>
      <c r="AW113" s="53"/>
      <c r="AX113" s="53"/>
      <c r="AY113" s="53"/>
      <c r="AZ113" s="53"/>
      <c r="BA113" s="53"/>
      <c r="BB113" s="53"/>
      <c r="BC113" s="111">
        <f t="shared" si="21"/>
        <v>14808.592762780008</v>
      </c>
      <c r="BD113" s="111">
        <f t="shared" si="22"/>
        <v>22212.889144170014</v>
      </c>
    </row>
    <row r="114" spans="1:56" ht="21" customHeight="1" x14ac:dyDescent="0.25">
      <c r="A114" s="53">
        <v>104</v>
      </c>
      <c r="B114" s="53"/>
      <c r="C114" s="53"/>
      <c r="D114" s="53" t="s">
        <v>135</v>
      </c>
      <c r="E114" s="53"/>
      <c r="F114" s="53"/>
      <c r="G114" s="53" t="s">
        <v>290</v>
      </c>
      <c r="H114" s="53" t="s">
        <v>291</v>
      </c>
      <c r="I114" s="85" t="s">
        <v>537</v>
      </c>
      <c r="J114" s="85" t="s">
        <v>660</v>
      </c>
      <c r="K114" s="85" t="s">
        <v>448</v>
      </c>
      <c r="L114" s="53" t="s">
        <v>216</v>
      </c>
      <c r="M114" s="53" t="s">
        <v>252</v>
      </c>
      <c r="N114" s="53"/>
      <c r="O114" s="85" t="s">
        <v>135</v>
      </c>
      <c r="P114" s="53">
        <v>1</v>
      </c>
      <c r="Q114" s="183">
        <v>10</v>
      </c>
      <c r="R114" s="84">
        <v>0.87050000000000005</v>
      </c>
      <c r="S114" s="53">
        <v>14</v>
      </c>
      <c r="T114" s="53"/>
      <c r="U114" s="53">
        <v>3</v>
      </c>
      <c r="V114" s="53">
        <v>480</v>
      </c>
      <c r="W114" s="53"/>
      <c r="X114" s="53"/>
      <c r="Y114" s="53"/>
      <c r="Z114" s="53"/>
      <c r="AA114" s="53"/>
      <c r="AB114" s="53"/>
      <c r="AC114" s="137" t="s">
        <v>124</v>
      </c>
      <c r="AD114" s="138" t="s">
        <v>118</v>
      </c>
      <c r="AE114" s="83">
        <v>8760</v>
      </c>
      <c r="AF114" s="139">
        <v>1</v>
      </c>
      <c r="AG114" s="139">
        <f t="shared" si="23"/>
        <v>0.82191780821917804</v>
      </c>
      <c r="AH114" s="139">
        <v>0.6</v>
      </c>
      <c r="AI114" s="139">
        <v>0.6</v>
      </c>
      <c r="AJ114" s="83">
        <f t="shared" si="13"/>
        <v>2880</v>
      </c>
      <c r="AK114" s="83">
        <f t="shared" si="14"/>
        <v>4320</v>
      </c>
      <c r="AL114" s="104">
        <f t="shared" si="15"/>
        <v>5.1418724870763919</v>
      </c>
      <c r="AM114" s="104">
        <f t="shared" si="16"/>
        <v>5.1418724870763919</v>
      </c>
      <c r="AN114" s="83">
        <f t="shared" si="17"/>
        <v>14808.592762780008</v>
      </c>
      <c r="AO114" s="83">
        <f t="shared" si="18"/>
        <v>22212.889144170014</v>
      </c>
      <c r="AP114" s="182">
        <f t="shared" si="19"/>
        <v>50.528991709592177</v>
      </c>
      <c r="AQ114" s="182">
        <f t="shared" si="20"/>
        <v>75.793487564388272</v>
      </c>
      <c r="AR114" s="85"/>
      <c r="AS114" s="85"/>
      <c r="AT114" s="53"/>
      <c r="AU114" s="53"/>
      <c r="AV114" s="107"/>
      <c r="AW114" s="53"/>
      <c r="AX114" s="53"/>
      <c r="AY114" s="53"/>
      <c r="AZ114" s="53"/>
      <c r="BA114" s="53"/>
      <c r="BB114" s="53"/>
      <c r="BC114" s="111">
        <f t="shared" si="21"/>
        <v>14808.592762780008</v>
      </c>
      <c r="BD114" s="111">
        <f t="shared" si="22"/>
        <v>22212.889144170014</v>
      </c>
    </row>
    <row r="115" spans="1:56" ht="21" customHeight="1" x14ac:dyDescent="0.25">
      <c r="A115" s="53">
        <v>105</v>
      </c>
      <c r="B115" s="53"/>
      <c r="C115" s="53"/>
      <c r="D115" s="53" t="s">
        <v>135</v>
      </c>
      <c r="E115" s="53"/>
      <c r="F115" s="53"/>
      <c r="G115" s="53" t="s">
        <v>290</v>
      </c>
      <c r="H115" s="53" t="s">
        <v>291</v>
      </c>
      <c r="I115" s="85" t="s">
        <v>537</v>
      </c>
      <c r="J115" s="85" t="s">
        <v>581</v>
      </c>
      <c r="K115" s="85" t="s">
        <v>582</v>
      </c>
      <c r="L115" s="53" t="s">
        <v>216</v>
      </c>
      <c r="M115" s="53" t="s">
        <v>295</v>
      </c>
      <c r="N115" s="53"/>
      <c r="O115" s="85" t="s">
        <v>135</v>
      </c>
      <c r="P115" s="53">
        <v>1</v>
      </c>
      <c r="Q115" s="183">
        <v>10</v>
      </c>
      <c r="R115" s="84">
        <v>0.87050000000000005</v>
      </c>
      <c r="S115" s="53">
        <v>14</v>
      </c>
      <c r="T115" s="53"/>
      <c r="U115" s="53">
        <v>3</v>
      </c>
      <c r="V115" s="53">
        <v>480</v>
      </c>
      <c r="W115" s="53"/>
      <c r="X115" s="53"/>
      <c r="Y115" s="53"/>
      <c r="Z115" s="53"/>
      <c r="AA115" s="53"/>
      <c r="AB115" s="53"/>
      <c r="AC115" s="137" t="s">
        <v>124</v>
      </c>
      <c r="AD115" s="138" t="s">
        <v>118</v>
      </c>
      <c r="AE115" s="83">
        <v>8760</v>
      </c>
      <c r="AF115" s="139">
        <v>1</v>
      </c>
      <c r="AG115" s="139">
        <f t="shared" si="23"/>
        <v>0.82191780821917804</v>
      </c>
      <c r="AH115" s="139">
        <v>0.75</v>
      </c>
      <c r="AI115" s="139">
        <v>0.75</v>
      </c>
      <c r="AJ115" s="83">
        <f t="shared" si="13"/>
        <v>2880</v>
      </c>
      <c r="AK115" s="83">
        <f t="shared" si="14"/>
        <v>4320</v>
      </c>
      <c r="AL115" s="104">
        <f t="shared" si="15"/>
        <v>6.4273406088454905</v>
      </c>
      <c r="AM115" s="104">
        <f t="shared" si="16"/>
        <v>6.4273406088454905</v>
      </c>
      <c r="AN115" s="83">
        <f t="shared" si="17"/>
        <v>18510.740953475011</v>
      </c>
      <c r="AO115" s="83">
        <f t="shared" si="18"/>
        <v>27766.111430212521</v>
      </c>
      <c r="AP115" s="182">
        <f t="shared" si="19"/>
        <v>63.161239636990217</v>
      </c>
      <c r="AQ115" s="182">
        <f t="shared" si="20"/>
        <v>94.74185945548534</v>
      </c>
      <c r="AR115" s="85"/>
      <c r="AS115" s="85"/>
      <c r="AT115" s="53"/>
      <c r="AU115" s="53"/>
      <c r="AV115" s="53"/>
      <c r="AW115" s="53"/>
      <c r="AX115" s="53"/>
      <c r="AY115" s="53"/>
      <c r="AZ115" s="53"/>
      <c r="BA115" s="53"/>
      <c r="BB115" s="53"/>
      <c r="BC115" s="111">
        <f t="shared" si="21"/>
        <v>18510.740953475011</v>
      </c>
      <c r="BD115" s="111">
        <f t="shared" si="22"/>
        <v>27766.111430212521</v>
      </c>
    </row>
    <row r="116" spans="1:56" ht="21" customHeight="1" x14ac:dyDescent="0.25">
      <c r="A116" s="53">
        <v>106</v>
      </c>
      <c r="B116" s="53"/>
      <c r="C116" s="53"/>
      <c r="D116" s="53" t="s">
        <v>135</v>
      </c>
      <c r="E116" s="53"/>
      <c r="F116" s="53"/>
      <c r="G116" s="53" t="s">
        <v>290</v>
      </c>
      <c r="H116" s="53" t="s">
        <v>291</v>
      </c>
      <c r="I116" s="85" t="s">
        <v>537</v>
      </c>
      <c r="J116" s="85" t="s">
        <v>583</v>
      </c>
      <c r="K116" s="85" t="s">
        <v>582</v>
      </c>
      <c r="L116" s="53" t="s">
        <v>216</v>
      </c>
      <c r="M116" s="53" t="s">
        <v>295</v>
      </c>
      <c r="N116" s="53"/>
      <c r="O116" s="85" t="s">
        <v>135</v>
      </c>
      <c r="P116" s="53">
        <v>1</v>
      </c>
      <c r="Q116" s="183">
        <v>10</v>
      </c>
      <c r="R116" s="84">
        <v>0.87050000000000005</v>
      </c>
      <c r="S116" s="53">
        <v>14</v>
      </c>
      <c r="T116" s="53"/>
      <c r="U116" s="53">
        <v>3</v>
      </c>
      <c r="V116" s="53">
        <v>480</v>
      </c>
      <c r="W116" s="53"/>
      <c r="X116" s="53"/>
      <c r="Y116" s="53"/>
      <c r="Z116" s="53"/>
      <c r="AA116" s="53"/>
      <c r="AB116" s="53"/>
      <c r="AC116" s="137" t="s">
        <v>124</v>
      </c>
      <c r="AD116" s="138" t="s">
        <v>118</v>
      </c>
      <c r="AE116" s="83">
        <v>8760</v>
      </c>
      <c r="AF116" s="139">
        <v>1</v>
      </c>
      <c r="AG116" s="139">
        <f t="shared" si="23"/>
        <v>0.82191780821917804</v>
      </c>
      <c r="AH116" s="139">
        <v>0.75</v>
      </c>
      <c r="AI116" s="139">
        <v>0.75</v>
      </c>
      <c r="AJ116" s="83">
        <f t="shared" si="13"/>
        <v>2880</v>
      </c>
      <c r="AK116" s="83">
        <f t="shared" si="14"/>
        <v>4320</v>
      </c>
      <c r="AL116" s="104">
        <f t="shared" si="15"/>
        <v>6.4273406088454905</v>
      </c>
      <c r="AM116" s="104">
        <f t="shared" si="16"/>
        <v>6.4273406088454905</v>
      </c>
      <c r="AN116" s="83">
        <f t="shared" si="17"/>
        <v>18510.740953475011</v>
      </c>
      <c r="AO116" s="83">
        <f t="shared" si="18"/>
        <v>27766.111430212521</v>
      </c>
      <c r="AP116" s="182">
        <f t="shared" si="19"/>
        <v>63.161239636990217</v>
      </c>
      <c r="AQ116" s="182">
        <f t="shared" si="20"/>
        <v>94.74185945548534</v>
      </c>
      <c r="AR116" s="85"/>
      <c r="AS116" s="85"/>
      <c r="AT116" s="53"/>
      <c r="AU116" s="53"/>
      <c r="AV116" s="53"/>
      <c r="AW116" s="53"/>
      <c r="AX116" s="53"/>
      <c r="AY116" s="53"/>
      <c r="AZ116" s="53"/>
      <c r="BA116" s="53"/>
      <c r="BB116" s="53"/>
      <c r="BC116" s="111">
        <f t="shared" si="21"/>
        <v>18510.740953475011</v>
      </c>
      <c r="BD116" s="111">
        <f t="shared" si="22"/>
        <v>27766.111430212521</v>
      </c>
    </row>
    <row r="117" spans="1:56" ht="21" customHeight="1" x14ac:dyDescent="0.25">
      <c r="A117" s="53">
        <v>107</v>
      </c>
      <c r="B117" s="53"/>
      <c r="C117" s="53"/>
      <c r="D117" s="53" t="s">
        <v>135</v>
      </c>
      <c r="E117" s="53"/>
      <c r="F117" s="53"/>
      <c r="G117" s="53" t="s">
        <v>290</v>
      </c>
      <c r="H117" s="53" t="s">
        <v>291</v>
      </c>
      <c r="I117" s="85" t="s">
        <v>537</v>
      </c>
      <c r="J117" s="85" t="s">
        <v>734</v>
      </c>
      <c r="K117" s="85" t="s">
        <v>365</v>
      </c>
      <c r="L117" s="53" t="s">
        <v>216</v>
      </c>
      <c r="M117" s="53" t="s">
        <v>295</v>
      </c>
      <c r="N117" s="53"/>
      <c r="O117" s="85" t="s">
        <v>135</v>
      </c>
      <c r="P117" s="53">
        <v>1</v>
      </c>
      <c r="Q117" s="183">
        <v>5</v>
      </c>
      <c r="R117" s="84">
        <v>0.87050000000000005</v>
      </c>
      <c r="S117" s="53">
        <v>7.6</v>
      </c>
      <c r="T117" s="53"/>
      <c r="U117" s="53">
        <v>3</v>
      </c>
      <c r="V117" s="53">
        <v>480</v>
      </c>
      <c r="W117" s="53"/>
      <c r="X117" s="53"/>
      <c r="Y117" s="53"/>
      <c r="Z117" s="53"/>
      <c r="AA117" s="53"/>
      <c r="AB117" s="53"/>
      <c r="AC117" s="137" t="s">
        <v>124</v>
      </c>
      <c r="AD117" s="138" t="s">
        <v>118</v>
      </c>
      <c r="AE117" s="83">
        <v>8760</v>
      </c>
      <c r="AF117" s="139">
        <v>1</v>
      </c>
      <c r="AG117" s="139">
        <f t="shared" si="23"/>
        <v>0.82191780821917804</v>
      </c>
      <c r="AH117" s="139">
        <v>0.6</v>
      </c>
      <c r="AI117" s="139">
        <v>0.6</v>
      </c>
      <c r="AJ117" s="83">
        <f t="shared" si="13"/>
        <v>2880</v>
      </c>
      <c r="AK117" s="83">
        <f t="shared" si="14"/>
        <v>4320</v>
      </c>
      <c r="AL117" s="104">
        <f t="shared" si="15"/>
        <v>2.5709362435381959</v>
      </c>
      <c r="AM117" s="104">
        <f t="shared" si="16"/>
        <v>2.5709362435381959</v>
      </c>
      <c r="AN117" s="83">
        <f t="shared" si="17"/>
        <v>7404.2963813900042</v>
      </c>
      <c r="AO117" s="83">
        <f t="shared" si="18"/>
        <v>11106.444572085007</v>
      </c>
      <c r="AP117" s="182">
        <f t="shared" si="19"/>
        <v>25.264495854796088</v>
      </c>
      <c r="AQ117" s="182">
        <f t="shared" si="20"/>
        <v>37.896743782194136</v>
      </c>
      <c r="AR117" s="85"/>
      <c r="AS117" s="85"/>
      <c r="AT117" s="53"/>
      <c r="AU117" s="53"/>
      <c r="AV117" s="53"/>
      <c r="AW117" s="53"/>
      <c r="AX117" s="53"/>
      <c r="AY117" s="53"/>
      <c r="AZ117" s="53"/>
      <c r="BA117" s="53"/>
      <c r="BB117" s="53"/>
      <c r="BC117" s="111">
        <f t="shared" si="21"/>
        <v>7404.2963813900042</v>
      </c>
      <c r="BD117" s="111">
        <f t="shared" si="22"/>
        <v>11106.444572085007</v>
      </c>
    </row>
    <row r="118" spans="1:56" ht="21" customHeight="1" x14ac:dyDescent="0.25">
      <c r="A118" s="53">
        <v>108</v>
      </c>
      <c r="B118" s="53"/>
      <c r="C118" s="53"/>
      <c r="D118" s="53" t="s">
        <v>135</v>
      </c>
      <c r="E118" s="53"/>
      <c r="F118" s="53"/>
      <c r="G118" s="53" t="s">
        <v>290</v>
      </c>
      <c r="H118" s="53" t="s">
        <v>291</v>
      </c>
      <c r="I118" s="85" t="s">
        <v>391</v>
      </c>
      <c r="J118" s="85" t="s">
        <v>392</v>
      </c>
      <c r="K118" s="85" t="s">
        <v>393</v>
      </c>
      <c r="L118" s="53" t="s">
        <v>216</v>
      </c>
      <c r="M118" s="53" t="s">
        <v>295</v>
      </c>
      <c r="N118" s="53"/>
      <c r="O118" s="85" t="s">
        <v>135</v>
      </c>
      <c r="P118" s="53">
        <v>1</v>
      </c>
      <c r="Q118" s="183">
        <v>50</v>
      </c>
      <c r="R118" s="84">
        <v>0.89250000000000007</v>
      </c>
      <c r="S118" s="53">
        <v>65</v>
      </c>
      <c r="T118" s="53"/>
      <c r="U118" s="53">
        <v>3</v>
      </c>
      <c r="V118" s="53">
        <v>480</v>
      </c>
      <c r="W118" s="53"/>
      <c r="X118" s="53"/>
      <c r="Y118" s="53"/>
      <c r="Z118" s="53"/>
      <c r="AA118" s="53"/>
      <c r="AB118" s="53"/>
      <c r="AC118" s="137" t="s">
        <v>124</v>
      </c>
      <c r="AD118" s="138" t="s">
        <v>118</v>
      </c>
      <c r="AE118" s="83">
        <v>8760</v>
      </c>
      <c r="AF118" s="139">
        <v>1</v>
      </c>
      <c r="AG118" s="139">
        <f t="shared" si="23"/>
        <v>0.82191780821917804</v>
      </c>
      <c r="AH118" s="139">
        <v>0.6</v>
      </c>
      <c r="AI118" s="139">
        <v>0.6</v>
      </c>
      <c r="AJ118" s="83">
        <f t="shared" si="13"/>
        <v>2880</v>
      </c>
      <c r="AK118" s="83">
        <f t="shared" si="14"/>
        <v>4320</v>
      </c>
      <c r="AL118" s="104">
        <f t="shared" si="15"/>
        <v>25.075630252100837</v>
      </c>
      <c r="AM118" s="104">
        <f t="shared" si="16"/>
        <v>25.075630252100837</v>
      </c>
      <c r="AN118" s="83">
        <f t="shared" si="17"/>
        <v>72217.815126050409</v>
      </c>
      <c r="AO118" s="83">
        <f t="shared" si="18"/>
        <v>108326.72268907561</v>
      </c>
      <c r="AP118" s="182">
        <f t="shared" si="19"/>
        <v>246.41729570420165</v>
      </c>
      <c r="AQ118" s="182">
        <f t="shared" si="20"/>
        <v>369.62594355630245</v>
      </c>
      <c r="AR118" s="85"/>
      <c r="AS118" s="85"/>
      <c r="AT118" s="53"/>
      <c r="AU118" s="53"/>
      <c r="AV118" s="53"/>
      <c r="AW118" s="53"/>
      <c r="AX118" s="53"/>
      <c r="AY118" s="53"/>
      <c r="AZ118" s="53"/>
      <c r="BA118" s="53"/>
      <c r="BB118" s="53"/>
      <c r="BC118" s="111">
        <f t="shared" si="21"/>
        <v>72217.815126050409</v>
      </c>
      <c r="BD118" s="111">
        <f t="shared" si="22"/>
        <v>108326.72268907561</v>
      </c>
    </row>
    <row r="119" spans="1:56" ht="21" customHeight="1" x14ac:dyDescent="0.25">
      <c r="A119" s="53">
        <v>109</v>
      </c>
      <c r="B119" s="53"/>
      <c r="C119" s="53"/>
      <c r="D119" s="53" t="s">
        <v>135</v>
      </c>
      <c r="E119" s="53"/>
      <c r="F119" s="53"/>
      <c r="G119" s="53" t="s">
        <v>290</v>
      </c>
      <c r="H119" s="53" t="s">
        <v>291</v>
      </c>
      <c r="I119" s="85" t="s">
        <v>391</v>
      </c>
      <c r="J119" s="85" t="s">
        <v>750</v>
      </c>
      <c r="K119" s="85" t="s">
        <v>360</v>
      </c>
      <c r="L119" s="53" t="s">
        <v>216</v>
      </c>
      <c r="M119" s="53" t="s">
        <v>361</v>
      </c>
      <c r="N119" s="53"/>
      <c r="O119" s="85" t="s">
        <v>135</v>
      </c>
      <c r="P119" s="53">
        <v>1</v>
      </c>
      <c r="Q119" s="183">
        <v>3</v>
      </c>
      <c r="R119" s="84">
        <v>0.87050000000000005</v>
      </c>
      <c r="S119" s="53">
        <v>4.5</v>
      </c>
      <c r="T119" s="53"/>
      <c r="U119" s="53">
        <v>3</v>
      </c>
      <c r="V119" s="53">
        <v>480</v>
      </c>
      <c r="W119" s="53"/>
      <c r="X119" s="53"/>
      <c r="Y119" s="53"/>
      <c r="Z119" s="53"/>
      <c r="AA119" s="53"/>
      <c r="AB119" s="53"/>
      <c r="AC119" s="137" t="s">
        <v>124</v>
      </c>
      <c r="AD119" s="138" t="s">
        <v>118</v>
      </c>
      <c r="AE119" s="83">
        <v>8760</v>
      </c>
      <c r="AF119" s="139">
        <v>1</v>
      </c>
      <c r="AG119" s="139">
        <f t="shared" si="23"/>
        <v>0.82191780821917804</v>
      </c>
      <c r="AH119" s="139">
        <v>0.75</v>
      </c>
      <c r="AI119" s="139">
        <v>0.75</v>
      </c>
      <c r="AJ119" s="83">
        <f t="shared" si="13"/>
        <v>2880</v>
      </c>
      <c r="AK119" s="83">
        <f t="shared" si="14"/>
        <v>4320</v>
      </c>
      <c r="AL119" s="104">
        <f t="shared" si="15"/>
        <v>1.9282021826536473</v>
      </c>
      <c r="AM119" s="104">
        <f t="shared" si="16"/>
        <v>1.9282021826536473</v>
      </c>
      <c r="AN119" s="83">
        <f t="shared" si="17"/>
        <v>5553.2222860425045</v>
      </c>
      <c r="AO119" s="83">
        <f t="shared" si="18"/>
        <v>8329.8334290637558</v>
      </c>
      <c r="AP119" s="182">
        <f t="shared" si="19"/>
        <v>18.948371891097068</v>
      </c>
      <c r="AQ119" s="182">
        <f t="shared" si="20"/>
        <v>28.422557836645602</v>
      </c>
      <c r="AR119" s="85"/>
      <c r="AS119" s="85"/>
      <c r="AT119" s="53"/>
      <c r="AU119" s="53"/>
      <c r="AV119" s="53"/>
      <c r="AW119" s="53"/>
      <c r="AX119" s="53"/>
      <c r="AY119" s="53"/>
      <c r="AZ119" s="53"/>
      <c r="BA119" s="53"/>
      <c r="BB119" s="53"/>
      <c r="BC119" s="111">
        <f t="shared" si="21"/>
        <v>5553.2222860425045</v>
      </c>
      <c r="BD119" s="111">
        <f t="shared" si="22"/>
        <v>8329.8334290637558</v>
      </c>
    </row>
    <row r="120" spans="1:56" ht="15.75" x14ac:dyDescent="0.25">
      <c r="A120" s="53">
        <v>110</v>
      </c>
      <c r="B120" s="53"/>
      <c r="C120" s="53"/>
      <c r="D120" s="53" t="s">
        <v>135</v>
      </c>
      <c r="E120" s="53"/>
      <c r="F120" s="53"/>
      <c r="G120" s="53" t="s">
        <v>290</v>
      </c>
      <c r="H120" s="53" t="s">
        <v>291</v>
      </c>
      <c r="I120" s="85" t="s">
        <v>391</v>
      </c>
      <c r="J120" s="85" t="s">
        <v>735</v>
      </c>
      <c r="K120" s="85" t="s">
        <v>365</v>
      </c>
      <c r="L120" s="53" t="s">
        <v>216</v>
      </c>
      <c r="M120" s="53" t="s">
        <v>295</v>
      </c>
      <c r="N120" s="53"/>
      <c r="O120" s="85" t="s">
        <v>135</v>
      </c>
      <c r="P120" s="53">
        <v>1</v>
      </c>
      <c r="Q120" s="183">
        <v>5</v>
      </c>
      <c r="R120" s="84">
        <v>0.87050000000000005</v>
      </c>
      <c r="S120" s="53">
        <v>7.6</v>
      </c>
      <c r="T120" s="53"/>
      <c r="U120" s="53">
        <v>3</v>
      </c>
      <c r="V120" s="53">
        <v>480</v>
      </c>
      <c r="W120" s="53"/>
      <c r="X120" s="53"/>
      <c r="Y120" s="53"/>
      <c r="Z120" s="53"/>
      <c r="AA120" s="53"/>
      <c r="AB120" s="53"/>
      <c r="AC120" s="137" t="s">
        <v>124</v>
      </c>
      <c r="AD120" s="138" t="s">
        <v>118</v>
      </c>
      <c r="AE120" s="83">
        <v>8760</v>
      </c>
      <c r="AF120" s="139">
        <v>1</v>
      </c>
      <c r="AG120" s="139">
        <f t="shared" si="23"/>
        <v>0.82191780821917804</v>
      </c>
      <c r="AH120" s="139">
        <v>0.6</v>
      </c>
      <c r="AI120" s="139">
        <v>0.6</v>
      </c>
      <c r="AJ120" s="83">
        <f t="shared" si="13"/>
        <v>2880</v>
      </c>
      <c r="AK120" s="83">
        <f t="shared" si="14"/>
        <v>4320</v>
      </c>
      <c r="AL120" s="104">
        <f t="shared" si="15"/>
        <v>2.5709362435381959</v>
      </c>
      <c r="AM120" s="104">
        <f t="shared" si="16"/>
        <v>2.5709362435381959</v>
      </c>
      <c r="AN120" s="83">
        <f t="shared" si="17"/>
        <v>7404.2963813900042</v>
      </c>
      <c r="AO120" s="83">
        <f t="shared" si="18"/>
        <v>11106.444572085007</v>
      </c>
      <c r="AP120" s="182">
        <f t="shared" si="19"/>
        <v>25.264495854796088</v>
      </c>
      <c r="AQ120" s="182">
        <f t="shared" si="20"/>
        <v>37.896743782194136</v>
      </c>
      <c r="AR120" s="85"/>
      <c r="AS120" s="85"/>
      <c r="AT120" s="53"/>
      <c r="AU120" s="53"/>
      <c r="AV120" s="53"/>
      <c r="AW120" s="53"/>
      <c r="AX120" s="53"/>
      <c r="AY120" s="53"/>
      <c r="AZ120" s="53"/>
      <c r="BA120" s="53"/>
      <c r="BB120" s="53"/>
      <c r="BC120" s="111">
        <f t="shared" si="21"/>
        <v>7404.2963813900042</v>
      </c>
      <c r="BD120" s="111">
        <f t="shared" si="22"/>
        <v>11106.444572085007</v>
      </c>
    </row>
    <row r="121" spans="1:56" ht="15.75" x14ac:dyDescent="0.25">
      <c r="A121" s="53">
        <v>111</v>
      </c>
      <c r="B121" s="53"/>
      <c r="C121" s="53"/>
      <c r="D121" s="53" t="s">
        <v>135</v>
      </c>
      <c r="E121" s="53"/>
      <c r="F121" s="53"/>
      <c r="G121" s="53" t="s">
        <v>290</v>
      </c>
      <c r="H121" s="53" t="s">
        <v>291</v>
      </c>
      <c r="I121" s="85" t="s">
        <v>391</v>
      </c>
      <c r="J121" s="85" t="s">
        <v>451</v>
      </c>
      <c r="K121" s="85" t="s">
        <v>393</v>
      </c>
      <c r="L121" s="53" t="s">
        <v>216</v>
      </c>
      <c r="M121" s="53" t="s">
        <v>295</v>
      </c>
      <c r="N121" s="53"/>
      <c r="O121" s="85" t="s">
        <v>135</v>
      </c>
      <c r="P121" s="53">
        <v>1</v>
      </c>
      <c r="Q121" s="183">
        <v>40</v>
      </c>
      <c r="R121" s="84">
        <v>0.89250000000000007</v>
      </c>
      <c r="S121" s="53">
        <v>49</v>
      </c>
      <c r="T121" s="53"/>
      <c r="U121" s="53">
        <v>3</v>
      </c>
      <c r="V121" s="53">
        <v>480</v>
      </c>
      <c r="W121" s="53"/>
      <c r="X121" s="53"/>
      <c r="Y121" s="53"/>
      <c r="Z121" s="53"/>
      <c r="AA121" s="53"/>
      <c r="AB121" s="53"/>
      <c r="AC121" s="137" t="s">
        <v>124</v>
      </c>
      <c r="AD121" s="138" t="s">
        <v>118</v>
      </c>
      <c r="AE121" s="83">
        <v>8760</v>
      </c>
      <c r="AF121" s="139">
        <v>1</v>
      </c>
      <c r="AG121" s="139">
        <f t="shared" si="23"/>
        <v>0.82191780821917804</v>
      </c>
      <c r="AH121" s="139">
        <v>0.6</v>
      </c>
      <c r="AI121" s="139">
        <v>0.6</v>
      </c>
      <c r="AJ121" s="83">
        <f t="shared" si="13"/>
        <v>2880</v>
      </c>
      <c r="AK121" s="83">
        <f t="shared" si="14"/>
        <v>4320</v>
      </c>
      <c r="AL121" s="104">
        <f t="shared" si="15"/>
        <v>20.060504201680669</v>
      </c>
      <c r="AM121" s="104">
        <f t="shared" si="16"/>
        <v>20.060504201680669</v>
      </c>
      <c r="AN121" s="83">
        <f t="shared" si="17"/>
        <v>57774.252100840327</v>
      </c>
      <c r="AO121" s="83">
        <f t="shared" si="18"/>
        <v>86661.378151260491</v>
      </c>
      <c r="AP121" s="182">
        <f t="shared" si="19"/>
        <v>197.13383656336131</v>
      </c>
      <c r="AQ121" s="182">
        <f t="shared" si="20"/>
        <v>295.70075484504201</v>
      </c>
      <c r="AR121" s="85"/>
      <c r="AS121" s="85"/>
      <c r="AT121" s="53"/>
      <c r="AU121" s="53"/>
      <c r="AV121" s="53"/>
      <c r="AW121" s="53"/>
      <c r="AX121" s="53"/>
      <c r="AY121" s="53"/>
      <c r="AZ121" s="53"/>
      <c r="BA121" s="53"/>
      <c r="BB121" s="53"/>
      <c r="BC121" s="111">
        <f t="shared" si="21"/>
        <v>57774.252100840327</v>
      </c>
      <c r="BD121" s="111">
        <f t="shared" si="22"/>
        <v>86661.378151260491</v>
      </c>
    </row>
    <row r="122" spans="1:56" ht="15.75" x14ac:dyDescent="0.25">
      <c r="A122" s="53">
        <v>112</v>
      </c>
      <c r="B122" s="53"/>
      <c r="C122" s="53"/>
      <c r="D122" s="53" t="s">
        <v>135</v>
      </c>
      <c r="E122" s="53"/>
      <c r="F122" s="53"/>
      <c r="G122" s="53" t="s">
        <v>290</v>
      </c>
      <c r="H122" s="53" t="s">
        <v>291</v>
      </c>
      <c r="I122" s="85" t="s">
        <v>537</v>
      </c>
      <c r="J122" s="85" t="s">
        <v>797</v>
      </c>
      <c r="K122" s="85" t="s">
        <v>448</v>
      </c>
      <c r="L122" s="53" t="s">
        <v>216</v>
      </c>
      <c r="M122" s="53" t="s">
        <v>252</v>
      </c>
      <c r="N122" s="53"/>
      <c r="O122" s="85" t="s">
        <v>135</v>
      </c>
      <c r="P122" s="53">
        <v>1</v>
      </c>
      <c r="Q122" s="183">
        <v>3</v>
      </c>
      <c r="R122" s="84">
        <v>0.87050000000000005</v>
      </c>
      <c r="S122" s="53">
        <v>4.5</v>
      </c>
      <c r="T122" s="53"/>
      <c r="U122" s="53">
        <v>3</v>
      </c>
      <c r="V122" s="53">
        <v>480</v>
      </c>
      <c r="W122" s="53"/>
      <c r="X122" s="53"/>
      <c r="Y122" s="53"/>
      <c r="Z122" s="53"/>
      <c r="AA122" s="53"/>
      <c r="AB122" s="53"/>
      <c r="AC122" s="137" t="s">
        <v>124</v>
      </c>
      <c r="AD122" s="138" t="s">
        <v>118</v>
      </c>
      <c r="AE122" s="83">
        <v>8760</v>
      </c>
      <c r="AF122" s="139">
        <v>1</v>
      </c>
      <c r="AG122" s="139">
        <f t="shared" si="23"/>
        <v>0.82191780821917804</v>
      </c>
      <c r="AH122" s="139">
        <v>0.6</v>
      </c>
      <c r="AI122" s="139">
        <v>0.6</v>
      </c>
      <c r="AJ122" s="83">
        <f t="shared" si="13"/>
        <v>2880</v>
      </c>
      <c r="AK122" s="83">
        <f t="shared" si="14"/>
        <v>4320</v>
      </c>
      <c r="AL122" s="104">
        <f t="shared" si="15"/>
        <v>1.5425617461229177</v>
      </c>
      <c r="AM122" s="104">
        <f t="shared" si="16"/>
        <v>1.5425617461229177</v>
      </c>
      <c r="AN122" s="83">
        <f t="shared" si="17"/>
        <v>4442.5778288340034</v>
      </c>
      <c r="AO122" s="83">
        <f t="shared" si="18"/>
        <v>6663.8667432510047</v>
      </c>
      <c r="AP122" s="182">
        <f t="shared" si="19"/>
        <v>15.158697512877657</v>
      </c>
      <c r="AQ122" s="182">
        <f t="shared" si="20"/>
        <v>22.738046269316484</v>
      </c>
      <c r="AR122" s="85"/>
      <c r="AS122" s="85"/>
      <c r="AT122" s="53"/>
      <c r="AU122" s="53"/>
      <c r="AV122" s="53"/>
      <c r="AW122" s="53"/>
      <c r="AX122" s="53"/>
      <c r="AY122" s="53"/>
      <c r="AZ122" s="53"/>
      <c r="BA122" s="53"/>
      <c r="BB122" s="53"/>
      <c r="BC122" s="111">
        <f t="shared" si="21"/>
        <v>4442.5778288340034</v>
      </c>
      <c r="BD122" s="111">
        <f t="shared" si="22"/>
        <v>6663.8667432510047</v>
      </c>
    </row>
    <row r="123" spans="1:56" ht="15.75" x14ac:dyDescent="0.25">
      <c r="A123" s="53">
        <v>113</v>
      </c>
      <c r="B123" s="53"/>
      <c r="C123" s="53"/>
      <c r="D123" s="53" t="s">
        <v>135</v>
      </c>
      <c r="E123" s="53"/>
      <c r="F123" s="53"/>
      <c r="G123" s="53" t="s">
        <v>290</v>
      </c>
      <c r="H123" s="53" t="s">
        <v>291</v>
      </c>
      <c r="I123" s="85" t="s">
        <v>537</v>
      </c>
      <c r="J123" s="85" t="s">
        <v>798</v>
      </c>
      <c r="K123" s="85" t="s">
        <v>448</v>
      </c>
      <c r="L123" s="53" t="s">
        <v>216</v>
      </c>
      <c r="M123" s="53" t="s">
        <v>252</v>
      </c>
      <c r="N123" s="53"/>
      <c r="O123" s="85" t="s">
        <v>135</v>
      </c>
      <c r="P123" s="53">
        <v>1</v>
      </c>
      <c r="Q123" s="183">
        <v>3</v>
      </c>
      <c r="R123" s="84">
        <v>0.87050000000000005</v>
      </c>
      <c r="S123" s="53">
        <v>4.5</v>
      </c>
      <c r="T123" s="53"/>
      <c r="U123" s="53">
        <v>3</v>
      </c>
      <c r="V123" s="53">
        <v>480</v>
      </c>
      <c r="W123" s="53"/>
      <c r="X123" s="53"/>
      <c r="Y123" s="53"/>
      <c r="Z123" s="53"/>
      <c r="AA123" s="53"/>
      <c r="AB123" s="53"/>
      <c r="AC123" s="137" t="s">
        <v>124</v>
      </c>
      <c r="AD123" s="138" t="s">
        <v>118</v>
      </c>
      <c r="AE123" s="83">
        <v>8760</v>
      </c>
      <c r="AF123" s="139">
        <v>1</v>
      </c>
      <c r="AG123" s="139">
        <f t="shared" si="23"/>
        <v>0.82191780821917804</v>
      </c>
      <c r="AH123" s="139">
        <v>0.6</v>
      </c>
      <c r="AI123" s="139">
        <v>0.6</v>
      </c>
      <c r="AJ123" s="83">
        <f t="shared" si="13"/>
        <v>2880</v>
      </c>
      <c r="AK123" s="83">
        <f t="shared" si="14"/>
        <v>4320</v>
      </c>
      <c r="AL123" s="104">
        <f t="shared" si="15"/>
        <v>1.5425617461229177</v>
      </c>
      <c r="AM123" s="104">
        <f t="shared" si="16"/>
        <v>1.5425617461229177</v>
      </c>
      <c r="AN123" s="83">
        <f t="shared" si="17"/>
        <v>4442.5778288340034</v>
      </c>
      <c r="AO123" s="83">
        <f t="shared" si="18"/>
        <v>6663.8667432510047</v>
      </c>
      <c r="AP123" s="182">
        <f t="shared" si="19"/>
        <v>15.158697512877657</v>
      </c>
      <c r="AQ123" s="182">
        <f t="shared" si="20"/>
        <v>22.738046269316484</v>
      </c>
      <c r="AR123" s="85"/>
      <c r="AS123" s="85"/>
      <c r="AT123" s="53"/>
      <c r="AU123" s="53"/>
      <c r="AV123" s="53"/>
      <c r="AW123" s="53"/>
      <c r="AX123" s="53"/>
      <c r="AY123" s="53"/>
      <c r="AZ123" s="53"/>
      <c r="BA123" s="53"/>
      <c r="BB123" s="53"/>
      <c r="BC123" s="111">
        <f t="shared" si="21"/>
        <v>4442.5778288340034</v>
      </c>
      <c r="BD123" s="111">
        <f t="shared" si="22"/>
        <v>6663.8667432510047</v>
      </c>
    </row>
    <row r="124" spans="1:56" ht="15.75" x14ac:dyDescent="0.25">
      <c r="A124" s="53">
        <v>114</v>
      </c>
      <c r="B124" s="53"/>
      <c r="C124" s="53"/>
      <c r="D124" s="53" t="s">
        <v>135</v>
      </c>
      <c r="E124" s="53"/>
      <c r="F124" s="53"/>
      <c r="G124" s="53" t="s">
        <v>290</v>
      </c>
      <c r="H124" s="53" t="s">
        <v>291</v>
      </c>
      <c r="I124" s="85" t="s">
        <v>537</v>
      </c>
      <c r="J124" s="85" t="s">
        <v>539</v>
      </c>
      <c r="K124" s="85" t="s">
        <v>448</v>
      </c>
      <c r="L124" s="53" t="s">
        <v>216</v>
      </c>
      <c r="M124" s="53" t="s">
        <v>252</v>
      </c>
      <c r="N124" s="53"/>
      <c r="O124" s="85" t="s">
        <v>135</v>
      </c>
      <c r="P124" s="53">
        <v>1</v>
      </c>
      <c r="Q124" s="183">
        <v>20</v>
      </c>
      <c r="R124" s="84">
        <v>0.89700000000000002</v>
      </c>
      <c r="S124" s="53">
        <v>27</v>
      </c>
      <c r="T124" s="53"/>
      <c r="U124" s="53">
        <v>3</v>
      </c>
      <c r="V124" s="53">
        <v>480</v>
      </c>
      <c r="W124" s="53"/>
      <c r="X124" s="53"/>
      <c r="Y124" s="53"/>
      <c r="Z124" s="53"/>
      <c r="AA124" s="53"/>
      <c r="AB124" s="53"/>
      <c r="AC124" s="137" t="s">
        <v>124</v>
      </c>
      <c r="AD124" s="138" t="s">
        <v>118</v>
      </c>
      <c r="AE124" s="83">
        <v>8760</v>
      </c>
      <c r="AF124" s="139">
        <v>1</v>
      </c>
      <c r="AG124" s="139">
        <f t="shared" si="23"/>
        <v>0.82191780821917804</v>
      </c>
      <c r="AH124" s="139">
        <v>0.6</v>
      </c>
      <c r="AI124" s="139">
        <v>0.6</v>
      </c>
      <c r="AJ124" s="83">
        <f t="shared" si="13"/>
        <v>2880</v>
      </c>
      <c r="AK124" s="83">
        <f t="shared" si="14"/>
        <v>4320</v>
      </c>
      <c r="AL124" s="104">
        <f t="shared" si="15"/>
        <v>9.9799331103678917</v>
      </c>
      <c r="AM124" s="104">
        <f t="shared" si="16"/>
        <v>9.9799331103678917</v>
      </c>
      <c r="AN124" s="83">
        <f t="shared" si="17"/>
        <v>28742.207357859526</v>
      </c>
      <c r="AO124" s="83">
        <f t="shared" si="18"/>
        <v>43113.311036789295</v>
      </c>
      <c r="AP124" s="182">
        <f t="shared" si="19"/>
        <v>98.072435414046794</v>
      </c>
      <c r="AQ124" s="182">
        <f t="shared" si="20"/>
        <v>147.1086531210702</v>
      </c>
      <c r="AR124" s="85"/>
      <c r="AS124" s="85"/>
      <c r="AT124" s="53"/>
      <c r="AU124" s="53"/>
      <c r="AV124" s="53"/>
      <c r="AW124" s="53"/>
      <c r="AX124" s="53"/>
      <c r="AY124" s="53"/>
      <c r="AZ124" s="53"/>
      <c r="BA124" s="53"/>
      <c r="BB124" s="53"/>
      <c r="BC124" s="111">
        <f t="shared" si="21"/>
        <v>28742.207357859526</v>
      </c>
      <c r="BD124" s="111">
        <f t="shared" si="22"/>
        <v>43113.311036789295</v>
      </c>
    </row>
    <row r="125" spans="1:56" ht="15.75" x14ac:dyDescent="0.25">
      <c r="A125" s="53">
        <v>115</v>
      </c>
      <c r="B125" s="53"/>
      <c r="C125" s="53"/>
      <c r="D125" s="53" t="s">
        <v>135</v>
      </c>
      <c r="E125" s="53"/>
      <c r="F125" s="53"/>
      <c r="G125" s="53" t="s">
        <v>290</v>
      </c>
      <c r="H125" s="53" t="s">
        <v>291</v>
      </c>
      <c r="I125" s="85" t="s">
        <v>537</v>
      </c>
      <c r="J125" s="85" t="s">
        <v>540</v>
      </c>
      <c r="K125" s="85" t="s">
        <v>448</v>
      </c>
      <c r="L125" s="53" t="s">
        <v>216</v>
      </c>
      <c r="M125" s="53" t="s">
        <v>252</v>
      </c>
      <c r="N125" s="53"/>
      <c r="O125" s="85" t="s">
        <v>135</v>
      </c>
      <c r="P125" s="53">
        <v>1</v>
      </c>
      <c r="Q125" s="183">
        <v>20</v>
      </c>
      <c r="R125" s="84">
        <v>0.89700000000000002</v>
      </c>
      <c r="S125" s="53">
        <v>27</v>
      </c>
      <c r="T125" s="53"/>
      <c r="U125" s="53">
        <v>3</v>
      </c>
      <c r="V125" s="53">
        <v>480</v>
      </c>
      <c r="W125" s="53"/>
      <c r="X125" s="53"/>
      <c r="Y125" s="53"/>
      <c r="Z125" s="53"/>
      <c r="AA125" s="53"/>
      <c r="AB125" s="53"/>
      <c r="AC125" s="137" t="s">
        <v>124</v>
      </c>
      <c r="AD125" s="138" t="s">
        <v>118</v>
      </c>
      <c r="AE125" s="83">
        <v>8760</v>
      </c>
      <c r="AF125" s="139">
        <v>1</v>
      </c>
      <c r="AG125" s="139">
        <f t="shared" si="23"/>
        <v>0.82191780821917804</v>
      </c>
      <c r="AH125" s="139">
        <v>0.6</v>
      </c>
      <c r="AI125" s="139">
        <v>0.6</v>
      </c>
      <c r="AJ125" s="83">
        <f t="shared" si="13"/>
        <v>2880</v>
      </c>
      <c r="AK125" s="83">
        <f t="shared" si="14"/>
        <v>4320</v>
      </c>
      <c r="AL125" s="104">
        <f t="shared" si="15"/>
        <v>9.9799331103678917</v>
      </c>
      <c r="AM125" s="104">
        <f t="shared" si="16"/>
        <v>9.9799331103678917</v>
      </c>
      <c r="AN125" s="83">
        <f t="shared" si="17"/>
        <v>28742.207357859526</v>
      </c>
      <c r="AO125" s="83">
        <f t="shared" si="18"/>
        <v>43113.311036789295</v>
      </c>
      <c r="AP125" s="182">
        <f t="shared" si="19"/>
        <v>98.072435414046794</v>
      </c>
      <c r="AQ125" s="182">
        <f t="shared" si="20"/>
        <v>147.1086531210702</v>
      </c>
      <c r="AR125" s="85"/>
      <c r="AS125" s="85"/>
      <c r="AT125" s="53"/>
      <c r="AU125" s="53"/>
      <c r="AV125" s="53"/>
      <c r="AW125" s="53"/>
      <c r="AX125" s="53"/>
      <c r="AY125" s="53"/>
      <c r="AZ125" s="53"/>
      <c r="BA125" s="53"/>
      <c r="BB125" s="53"/>
      <c r="BC125" s="111">
        <f t="shared" si="21"/>
        <v>28742.207357859526</v>
      </c>
      <c r="BD125" s="111">
        <f t="shared" si="22"/>
        <v>43113.311036789295</v>
      </c>
    </row>
    <row r="126" spans="1:56" ht="15.75" x14ac:dyDescent="0.25">
      <c r="A126" s="53">
        <v>116</v>
      </c>
      <c r="B126" s="53"/>
      <c r="C126" s="53"/>
      <c r="D126" s="53" t="s">
        <v>135</v>
      </c>
      <c r="E126" s="53"/>
      <c r="F126" s="53"/>
      <c r="G126" s="53" t="s">
        <v>290</v>
      </c>
      <c r="H126" s="53" t="s">
        <v>291</v>
      </c>
      <c r="I126" s="85" t="s">
        <v>537</v>
      </c>
      <c r="J126" s="85" t="s">
        <v>790</v>
      </c>
      <c r="K126" s="85" t="s">
        <v>360</v>
      </c>
      <c r="L126" s="53" t="s">
        <v>216</v>
      </c>
      <c r="M126" s="53" t="s">
        <v>361</v>
      </c>
      <c r="N126" s="53"/>
      <c r="O126" s="85" t="s">
        <v>135</v>
      </c>
      <c r="P126" s="53">
        <v>1</v>
      </c>
      <c r="Q126" s="183">
        <v>3</v>
      </c>
      <c r="R126" s="84">
        <v>0.87050000000000005</v>
      </c>
      <c r="S126" s="53">
        <v>4.5</v>
      </c>
      <c r="T126" s="53"/>
      <c r="U126" s="53">
        <v>3</v>
      </c>
      <c r="V126" s="53">
        <v>480</v>
      </c>
      <c r="W126" s="53"/>
      <c r="X126" s="53"/>
      <c r="Y126" s="53"/>
      <c r="Z126" s="53"/>
      <c r="AA126" s="53"/>
      <c r="AB126" s="53"/>
      <c r="AC126" s="137" t="s">
        <v>124</v>
      </c>
      <c r="AD126" s="138" t="s">
        <v>118</v>
      </c>
      <c r="AE126" s="83">
        <v>8760</v>
      </c>
      <c r="AF126" s="139">
        <v>1</v>
      </c>
      <c r="AG126" s="139">
        <f t="shared" si="23"/>
        <v>0.82191780821917804</v>
      </c>
      <c r="AH126" s="139">
        <v>0.6</v>
      </c>
      <c r="AI126" s="139">
        <v>0.6</v>
      </c>
      <c r="AJ126" s="83">
        <f t="shared" si="13"/>
        <v>2880</v>
      </c>
      <c r="AK126" s="83">
        <f t="shared" si="14"/>
        <v>4320</v>
      </c>
      <c r="AL126" s="104">
        <f t="shared" si="15"/>
        <v>1.5425617461229177</v>
      </c>
      <c r="AM126" s="104">
        <f t="shared" si="16"/>
        <v>1.5425617461229177</v>
      </c>
      <c r="AN126" s="83">
        <f t="shared" si="17"/>
        <v>4442.5778288340034</v>
      </c>
      <c r="AO126" s="83">
        <f t="shared" si="18"/>
        <v>6663.8667432510047</v>
      </c>
      <c r="AP126" s="182">
        <f t="shared" si="19"/>
        <v>15.158697512877657</v>
      </c>
      <c r="AQ126" s="182">
        <f t="shared" si="20"/>
        <v>22.738046269316484</v>
      </c>
      <c r="AR126" s="85"/>
      <c r="AS126" s="85"/>
      <c r="AT126" s="53"/>
      <c r="AU126" s="53"/>
      <c r="AV126" s="53"/>
      <c r="AW126" s="53"/>
      <c r="AX126" s="53"/>
      <c r="AY126" s="53"/>
      <c r="AZ126" s="53"/>
      <c r="BA126" s="53"/>
      <c r="BB126" s="53"/>
      <c r="BC126" s="111">
        <f t="shared" si="21"/>
        <v>4442.5778288340034</v>
      </c>
      <c r="BD126" s="111">
        <f t="shared" si="22"/>
        <v>6663.8667432510047</v>
      </c>
    </row>
    <row r="127" spans="1:56" ht="21" customHeight="1" x14ac:dyDescent="0.25">
      <c r="A127" s="53">
        <v>117</v>
      </c>
      <c r="B127" s="53"/>
      <c r="C127" s="53"/>
      <c r="D127" s="53" t="s">
        <v>135</v>
      </c>
      <c r="E127" s="53"/>
      <c r="F127" s="53"/>
      <c r="G127" s="53" t="s">
        <v>290</v>
      </c>
      <c r="H127" s="53" t="s">
        <v>291</v>
      </c>
      <c r="I127" s="85" t="s">
        <v>292</v>
      </c>
      <c r="J127" s="85" t="s">
        <v>494</v>
      </c>
      <c r="K127" s="85" t="s">
        <v>365</v>
      </c>
      <c r="L127" s="53" t="s">
        <v>216</v>
      </c>
      <c r="M127" s="53" t="s">
        <v>295</v>
      </c>
      <c r="N127" s="53"/>
      <c r="O127" s="85" t="s">
        <v>135</v>
      </c>
      <c r="P127" s="53">
        <v>1</v>
      </c>
      <c r="Q127" s="183">
        <v>20</v>
      </c>
      <c r="R127" s="84">
        <v>0.89700000000000002</v>
      </c>
      <c r="S127" s="53">
        <v>27</v>
      </c>
      <c r="T127" s="53"/>
      <c r="U127" s="53">
        <v>3</v>
      </c>
      <c r="V127" s="53">
        <v>480</v>
      </c>
      <c r="W127" s="53"/>
      <c r="X127" s="53"/>
      <c r="Y127" s="53"/>
      <c r="Z127" s="53"/>
      <c r="AA127" s="53"/>
      <c r="AB127" s="53"/>
      <c r="AC127" s="137" t="s">
        <v>124</v>
      </c>
      <c r="AD127" s="138" t="s">
        <v>118</v>
      </c>
      <c r="AE127" s="83">
        <v>8760</v>
      </c>
      <c r="AF127" s="139">
        <v>1</v>
      </c>
      <c r="AG127" s="139">
        <f t="shared" si="23"/>
        <v>0.82191780821917804</v>
      </c>
      <c r="AH127" s="139">
        <v>0.6</v>
      </c>
      <c r="AI127" s="139">
        <v>0.6</v>
      </c>
      <c r="AJ127" s="83">
        <f t="shared" si="13"/>
        <v>2880</v>
      </c>
      <c r="AK127" s="83">
        <f t="shared" si="14"/>
        <v>4320</v>
      </c>
      <c r="AL127" s="104">
        <f t="shared" si="15"/>
        <v>9.9799331103678917</v>
      </c>
      <c r="AM127" s="104">
        <f t="shared" si="16"/>
        <v>9.9799331103678917</v>
      </c>
      <c r="AN127" s="83">
        <f t="shared" si="17"/>
        <v>28742.207357859526</v>
      </c>
      <c r="AO127" s="83">
        <f t="shared" si="18"/>
        <v>43113.311036789295</v>
      </c>
      <c r="AP127" s="182">
        <f t="shared" si="19"/>
        <v>98.072435414046794</v>
      </c>
      <c r="AQ127" s="182">
        <f t="shared" si="20"/>
        <v>147.1086531210702</v>
      </c>
      <c r="AR127" s="85"/>
      <c r="AS127" s="85"/>
      <c r="AT127" s="53"/>
      <c r="AU127" s="53"/>
      <c r="AV127" s="53"/>
      <c r="AW127" s="53"/>
      <c r="AX127" s="53"/>
      <c r="AY127" s="53"/>
      <c r="AZ127" s="53"/>
      <c r="BA127" s="53"/>
      <c r="BB127" s="53"/>
      <c r="BC127" s="111">
        <f t="shared" si="21"/>
        <v>28742.207357859526</v>
      </c>
      <c r="BD127" s="111">
        <f t="shared" si="22"/>
        <v>43113.311036789295</v>
      </c>
    </row>
    <row r="128" spans="1:56" ht="21" customHeight="1" x14ac:dyDescent="0.25">
      <c r="A128" s="53">
        <v>118</v>
      </c>
      <c r="B128" s="53"/>
      <c r="C128" s="53"/>
      <c r="D128" s="53" t="s">
        <v>135</v>
      </c>
      <c r="E128" s="53"/>
      <c r="F128" s="53"/>
      <c r="G128" s="53" t="s">
        <v>290</v>
      </c>
      <c r="H128" s="53" t="s">
        <v>291</v>
      </c>
      <c r="I128" s="85" t="s">
        <v>292</v>
      </c>
      <c r="J128" s="85" t="s">
        <v>364</v>
      </c>
      <c r="K128" s="85" t="s">
        <v>365</v>
      </c>
      <c r="L128" s="53" t="s">
        <v>216</v>
      </c>
      <c r="M128" s="53" t="s">
        <v>295</v>
      </c>
      <c r="N128" s="53"/>
      <c r="O128" s="85" t="s">
        <v>135</v>
      </c>
      <c r="P128" s="53">
        <v>1</v>
      </c>
      <c r="Q128" s="183">
        <v>60</v>
      </c>
      <c r="R128" s="84">
        <v>0.91300000000000003</v>
      </c>
      <c r="S128" s="53">
        <v>77</v>
      </c>
      <c r="T128" s="53"/>
      <c r="U128" s="53">
        <v>3</v>
      </c>
      <c r="V128" s="53">
        <v>480</v>
      </c>
      <c r="W128" s="53"/>
      <c r="X128" s="53"/>
      <c r="Y128" s="53"/>
      <c r="Z128" s="53"/>
      <c r="AA128" s="53"/>
      <c r="AB128" s="53"/>
      <c r="AC128" s="137" t="s">
        <v>124</v>
      </c>
      <c r="AD128" s="138" t="s">
        <v>118</v>
      </c>
      <c r="AE128" s="83">
        <v>8760</v>
      </c>
      <c r="AF128" s="139">
        <v>1</v>
      </c>
      <c r="AG128" s="139">
        <f t="shared" si="23"/>
        <v>0.82191780821917804</v>
      </c>
      <c r="AH128" s="139">
        <v>0.6</v>
      </c>
      <c r="AI128" s="139">
        <v>0.6</v>
      </c>
      <c r="AJ128" s="83">
        <f t="shared" si="13"/>
        <v>2880</v>
      </c>
      <c r="AK128" s="83">
        <f t="shared" si="14"/>
        <v>4320</v>
      </c>
      <c r="AL128" s="104">
        <f t="shared" si="15"/>
        <v>29.415115005476448</v>
      </c>
      <c r="AM128" s="104">
        <f t="shared" si="16"/>
        <v>29.415115005476448</v>
      </c>
      <c r="AN128" s="83">
        <f t="shared" si="17"/>
        <v>84715.531215772164</v>
      </c>
      <c r="AO128" s="83">
        <f t="shared" si="18"/>
        <v>127073.29682365825</v>
      </c>
      <c r="AP128" s="182">
        <f t="shared" si="19"/>
        <v>289.06125268258484</v>
      </c>
      <c r="AQ128" s="182">
        <f t="shared" si="20"/>
        <v>433.59187902387725</v>
      </c>
      <c r="AR128" s="85"/>
      <c r="AS128" s="85"/>
      <c r="AT128" s="53"/>
      <c r="AU128" s="53"/>
      <c r="AV128" s="53"/>
      <c r="AW128" s="53"/>
      <c r="AX128" s="53"/>
      <c r="AY128" s="53"/>
      <c r="AZ128" s="53"/>
      <c r="BA128" s="53"/>
      <c r="BB128" s="53"/>
      <c r="BC128" s="111">
        <f t="shared" si="21"/>
        <v>84715.531215772164</v>
      </c>
      <c r="BD128" s="111">
        <f t="shared" si="22"/>
        <v>127073.29682365825</v>
      </c>
    </row>
    <row r="129" spans="1:56" ht="91.5" customHeight="1" x14ac:dyDescent="0.25">
      <c r="A129" s="53">
        <v>119</v>
      </c>
      <c r="B129" s="53"/>
      <c r="C129" s="53"/>
      <c r="D129" s="53" t="s">
        <v>135</v>
      </c>
      <c r="E129" s="53"/>
      <c r="F129" s="53"/>
      <c r="G129" s="53" t="s">
        <v>290</v>
      </c>
      <c r="H129" s="53" t="s">
        <v>291</v>
      </c>
      <c r="I129" s="85" t="s">
        <v>292</v>
      </c>
      <c r="J129" s="85" t="s">
        <v>293</v>
      </c>
      <c r="K129" s="85" t="s">
        <v>294</v>
      </c>
      <c r="L129" s="53" t="s">
        <v>216</v>
      </c>
      <c r="M129" s="53" t="s">
        <v>295</v>
      </c>
      <c r="N129" s="53"/>
      <c r="O129" s="85" t="s">
        <v>135</v>
      </c>
      <c r="P129" s="53">
        <v>1</v>
      </c>
      <c r="Q129" s="183">
        <v>150</v>
      </c>
      <c r="R129" s="84">
        <v>0.92800000000000005</v>
      </c>
      <c r="S129" s="53">
        <v>180</v>
      </c>
      <c r="T129" s="53"/>
      <c r="U129" s="53">
        <v>3</v>
      </c>
      <c r="V129" s="53">
        <v>480</v>
      </c>
      <c r="W129" s="53"/>
      <c r="X129" s="53"/>
      <c r="Y129" s="53"/>
      <c r="Z129" s="53"/>
      <c r="AA129" s="53"/>
      <c r="AB129" s="53"/>
      <c r="AC129" s="137" t="s">
        <v>124</v>
      </c>
      <c r="AD129" s="138" t="s">
        <v>118</v>
      </c>
      <c r="AE129" s="83">
        <v>8760</v>
      </c>
      <c r="AF129" s="139">
        <v>1</v>
      </c>
      <c r="AG129" s="139">
        <f t="shared" si="23"/>
        <v>0.82191780821917804</v>
      </c>
      <c r="AH129" s="139">
        <v>0.75</v>
      </c>
      <c r="AI129" s="139">
        <v>0.75</v>
      </c>
      <c r="AJ129" s="83">
        <f t="shared" si="13"/>
        <v>2880</v>
      </c>
      <c r="AK129" s="83">
        <f t="shared" si="14"/>
        <v>4320</v>
      </c>
      <c r="AL129" s="104">
        <f t="shared" si="15"/>
        <v>90.43642241379311</v>
      </c>
      <c r="AM129" s="104">
        <f t="shared" si="16"/>
        <v>90.43642241379311</v>
      </c>
      <c r="AN129" s="83">
        <f t="shared" si="17"/>
        <v>260456.89655172414</v>
      </c>
      <c r="AO129" s="83">
        <f t="shared" si="18"/>
        <v>390685.34482758626</v>
      </c>
      <c r="AP129" s="182">
        <f t="shared" si="19"/>
        <v>888.71539499999994</v>
      </c>
      <c r="AQ129" s="182">
        <f t="shared" si="20"/>
        <v>1333.0730925000003</v>
      </c>
      <c r="AR129" s="85"/>
      <c r="AS129" s="85"/>
      <c r="AT129" s="53"/>
      <c r="AU129" s="53"/>
      <c r="AV129" s="53"/>
      <c r="AW129" s="53"/>
      <c r="AX129" s="53"/>
      <c r="AY129" s="53"/>
      <c r="AZ129" s="53"/>
      <c r="BA129" s="53"/>
      <c r="BB129" s="53"/>
      <c r="BC129" s="111">
        <f t="shared" si="21"/>
        <v>260456.89655172414</v>
      </c>
      <c r="BD129" s="111">
        <f t="shared" si="22"/>
        <v>390685.34482758626</v>
      </c>
    </row>
    <row r="130" spans="1:56" ht="82.5" customHeight="1" x14ac:dyDescent="0.25">
      <c r="A130" s="53">
        <v>120</v>
      </c>
      <c r="B130" s="53"/>
      <c r="C130" s="53"/>
      <c r="D130" s="53" t="s">
        <v>135</v>
      </c>
      <c r="E130" s="53"/>
      <c r="F130" s="53"/>
      <c r="G130" s="53" t="s">
        <v>290</v>
      </c>
      <c r="H130" s="53" t="s">
        <v>291</v>
      </c>
      <c r="I130" s="85" t="s">
        <v>292</v>
      </c>
      <c r="J130" s="85" t="s">
        <v>410</v>
      </c>
      <c r="K130" s="85" t="s">
        <v>365</v>
      </c>
      <c r="L130" s="53" t="s">
        <v>216</v>
      </c>
      <c r="M130" s="53" t="s">
        <v>295</v>
      </c>
      <c r="N130" s="53"/>
      <c r="O130" s="85" t="s">
        <v>135</v>
      </c>
      <c r="P130" s="53">
        <v>1</v>
      </c>
      <c r="Q130" s="183">
        <v>40</v>
      </c>
      <c r="R130" s="84">
        <v>0.89250000000000007</v>
      </c>
      <c r="S130" s="53">
        <v>49</v>
      </c>
      <c r="T130" s="53"/>
      <c r="U130" s="53">
        <v>3</v>
      </c>
      <c r="V130" s="53">
        <v>480</v>
      </c>
      <c r="W130" s="53"/>
      <c r="X130" s="53"/>
      <c r="Y130" s="53"/>
      <c r="Z130" s="53"/>
      <c r="AA130" s="53"/>
      <c r="AB130" s="53"/>
      <c r="AC130" s="137" t="s">
        <v>124</v>
      </c>
      <c r="AD130" s="138" t="s">
        <v>118</v>
      </c>
      <c r="AE130" s="83">
        <v>8760</v>
      </c>
      <c r="AF130" s="139">
        <v>1</v>
      </c>
      <c r="AG130" s="139">
        <f t="shared" si="23"/>
        <v>0.82191780821917804</v>
      </c>
      <c r="AH130" s="139">
        <v>0.6</v>
      </c>
      <c r="AI130" s="139">
        <v>0.6</v>
      </c>
      <c r="AJ130" s="83">
        <f t="shared" si="13"/>
        <v>2880</v>
      </c>
      <c r="AK130" s="83">
        <f t="shared" si="14"/>
        <v>4320</v>
      </c>
      <c r="AL130" s="104">
        <f t="shared" si="15"/>
        <v>20.060504201680669</v>
      </c>
      <c r="AM130" s="104">
        <f t="shared" si="16"/>
        <v>20.060504201680669</v>
      </c>
      <c r="AN130" s="83">
        <f t="shared" si="17"/>
        <v>57774.252100840327</v>
      </c>
      <c r="AO130" s="83">
        <f t="shared" si="18"/>
        <v>86661.378151260491</v>
      </c>
      <c r="AP130" s="182">
        <f t="shared" si="19"/>
        <v>197.13383656336131</v>
      </c>
      <c r="AQ130" s="182">
        <f t="shared" si="20"/>
        <v>295.70075484504201</v>
      </c>
      <c r="AR130" s="85"/>
      <c r="AS130" s="85"/>
      <c r="AT130" s="53"/>
      <c r="AU130" s="53"/>
      <c r="AV130" s="53"/>
      <c r="AW130" s="53"/>
      <c r="AX130" s="53"/>
      <c r="AY130" s="53"/>
      <c r="AZ130" s="53"/>
      <c r="BA130" s="53"/>
      <c r="BB130" s="53"/>
      <c r="BC130" s="111">
        <f t="shared" si="21"/>
        <v>57774.252100840327</v>
      </c>
      <c r="BD130" s="111">
        <f t="shared" si="22"/>
        <v>86661.378151260491</v>
      </c>
    </row>
    <row r="131" spans="1:56" ht="77.25" customHeight="1" x14ac:dyDescent="0.25">
      <c r="A131" s="53">
        <v>121</v>
      </c>
      <c r="B131" s="53"/>
      <c r="C131" s="53"/>
      <c r="D131" s="53" t="s">
        <v>135</v>
      </c>
      <c r="E131" s="53"/>
      <c r="F131" s="53"/>
      <c r="G131" s="53" t="s">
        <v>290</v>
      </c>
      <c r="H131" s="53" t="s">
        <v>291</v>
      </c>
      <c r="I131" s="85" t="s">
        <v>296</v>
      </c>
      <c r="J131" s="85" t="s">
        <v>297</v>
      </c>
      <c r="K131" s="85" t="s">
        <v>294</v>
      </c>
      <c r="L131" s="53" t="s">
        <v>216</v>
      </c>
      <c r="M131" s="53" t="s">
        <v>295</v>
      </c>
      <c r="N131" s="53"/>
      <c r="O131" s="85" t="s">
        <v>135</v>
      </c>
      <c r="P131" s="53">
        <v>1</v>
      </c>
      <c r="Q131" s="183">
        <v>150</v>
      </c>
      <c r="R131" s="84">
        <v>0.92800000000000005</v>
      </c>
      <c r="S131" s="53">
        <v>180</v>
      </c>
      <c r="T131" s="53"/>
      <c r="U131" s="53">
        <v>3</v>
      </c>
      <c r="V131" s="53">
        <v>480</v>
      </c>
      <c r="W131" s="53"/>
      <c r="X131" s="53"/>
      <c r="Y131" s="53"/>
      <c r="Z131" s="53"/>
      <c r="AA131" s="53"/>
      <c r="AB131" s="53"/>
      <c r="AC131" s="137" t="s">
        <v>124</v>
      </c>
      <c r="AD131" s="138" t="s">
        <v>118</v>
      </c>
      <c r="AE131" s="83">
        <v>8760</v>
      </c>
      <c r="AF131" s="139">
        <v>1</v>
      </c>
      <c r="AG131" s="139">
        <f t="shared" si="23"/>
        <v>0.82191780821917804</v>
      </c>
      <c r="AH131" s="139">
        <v>0.75</v>
      </c>
      <c r="AI131" s="139">
        <v>0.75</v>
      </c>
      <c r="AJ131" s="83">
        <f t="shared" si="13"/>
        <v>2880</v>
      </c>
      <c r="AK131" s="83">
        <f t="shared" si="14"/>
        <v>4320</v>
      </c>
      <c r="AL131" s="104">
        <f t="shared" si="15"/>
        <v>90.43642241379311</v>
      </c>
      <c r="AM131" s="104">
        <f t="shared" si="16"/>
        <v>90.43642241379311</v>
      </c>
      <c r="AN131" s="83">
        <f t="shared" si="17"/>
        <v>260456.89655172414</v>
      </c>
      <c r="AO131" s="83">
        <f t="shared" si="18"/>
        <v>390685.34482758626</v>
      </c>
      <c r="AP131" s="182">
        <f t="shared" si="19"/>
        <v>888.71539499999994</v>
      </c>
      <c r="AQ131" s="182">
        <f t="shared" si="20"/>
        <v>1333.0730925000003</v>
      </c>
      <c r="AR131" s="85"/>
      <c r="AS131" s="85"/>
      <c r="AT131" s="53"/>
      <c r="AU131" s="53"/>
      <c r="AV131" s="53"/>
      <c r="AW131" s="53"/>
      <c r="AX131" s="53"/>
      <c r="AY131" s="53"/>
      <c r="AZ131" s="53"/>
      <c r="BA131" s="53"/>
      <c r="BB131" s="53"/>
      <c r="BC131" s="111">
        <f t="shared" si="21"/>
        <v>260456.89655172414</v>
      </c>
      <c r="BD131" s="111">
        <f t="shared" si="22"/>
        <v>390685.34482758626</v>
      </c>
    </row>
    <row r="132" spans="1:56" ht="95.25" customHeight="1" x14ac:dyDescent="0.25">
      <c r="A132" s="53">
        <v>122</v>
      </c>
      <c r="B132" s="53"/>
      <c r="C132" s="53"/>
      <c r="D132" s="53" t="s">
        <v>135</v>
      </c>
      <c r="E132" s="53"/>
      <c r="F132" s="53"/>
      <c r="G132" s="53" t="s">
        <v>290</v>
      </c>
      <c r="H132" s="53" t="s">
        <v>291</v>
      </c>
      <c r="I132" s="85" t="s">
        <v>296</v>
      </c>
      <c r="J132" s="85" t="s">
        <v>720</v>
      </c>
      <c r="K132" s="85" t="s">
        <v>721</v>
      </c>
      <c r="L132" s="53" t="s">
        <v>722</v>
      </c>
      <c r="M132" s="53" t="s">
        <v>723</v>
      </c>
      <c r="N132" s="53"/>
      <c r="O132" s="85" t="s">
        <v>724</v>
      </c>
      <c r="P132" s="53">
        <v>1</v>
      </c>
      <c r="Q132" s="183">
        <v>0</v>
      </c>
      <c r="R132" s="84"/>
      <c r="S132" s="53">
        <v>16.7</v>
      </c>
      <c r="T132" s="53"/>
      <c r="U132" s="163">
        <v>3</v>
      </c>
      <c r="V132" s="163">
        <v>480</v>
      </c>
      <c r="W132" s="53"/>
      <c r="X132" s="53"/>
      <c r="Y132" s="53"/>
      <c r="Z132" s="53"/>
      <c r="AA132" s="53"/>
      <c r="AB132" s="53"/>
      <c r="AC132" s="137" t="s">
        <v>117</v>
      </c>
      <c r="AD132" s="138" t="s">
        <v>118</v>
      </c>
      <c r="AE132" s="83">
        <v>8760</v>
      </c>
      <c r="AF132" s="139">
        <v>1</v>
      </c>
      <c r="AG132" s="139">
        <f t="shared" si="23"/>
        <v>0.82191780821917804</v>
      </c>
      <c r="AH132" s="139">
        <v>0.25</v>
      </c>
      <c r="AI132" s="139">
        <v>0.25</v>
      </c>
      <c r="AJ132" s="83">
        <f t="shared" si="13"/>
        <v>2880</v>
      </c>
      <c r="AK132" s="83">
        <f t="shared" si="14"/>
        <v>4320</v>
      </c>
      <c r="AL132" s="104">
        <f t="shared" si="15"/>
        <v>3.1238351999999998</v>
      </c>
      <c r="AM132" s="104">
        <f t="shared" si="16"/>
        <v>3.1238351999999998</v>
      </c>
      <c r="AN132" s="83">
        <f t="shared" si="17"/>
        <v>8996.6453759999986</v>
      </c>
      <c r="AO132" s="83">
        <f t="shared" si="18"/>
        <v>13494.968063999999</v>
      </c>
      <c r="AP132" s="182">
        <f t="shared" si="19"/>
        <v>30.697813553264634</v>
      </c>
      <c r="AQ132" s="182">
        <f t="shared" si="20"/>
        <v>46.046720329896957</v>
      </c>
      <c r="AR132" s="85"/>
      <c r="AS132" s="85"/>
      <c r="AT132" s="53"/>
      <c r="AU132" s="53"/>
      <c r="AV132" s="53"/>
      <c r="AW132" s="53"/>
      <c r="AX132" s="53"/>
      <c r="AY132" s="53"/>
      <c r="AZ132" s="53"/>
      <c r="BA132" s="53"/>
      <c r="BB132" s="53"/>
      <c r="BC132" s="111">
        <f t="shared" si="21"/>
        <v>8996.6453759999986</v>
      </c>
      <c r="BD132" s="111">
        <f t="shared" si="22"/>
        <v>13494.968063999999</v>
      </c>
    </row>
    <row r="133" spans="1:56" ht="46.5" customHeight="1" x14ac:dyDescent="0.25">
      <c r="A133" s="53">
        <v>123</v>
      </c>
      <c r="B133" s="53"/>
      <c r="C133" s="53"/>
      <c r="D133" s="53" t="s">
        <v>135</v>
      </c>
      <c r="E133" s="53"/>
      <c r="F133" s="53"/>
      <c r="G133" s="53" t="s">
        <v>290</v>
      </c>
      <c r="H133" s="53" t="s">
        <v>291</v>
      </c>
      <c r="I133" s="85" t="s">
        <v>394</v>
      </c>
      <c r="J133" s="85" t="s">
        <v>395</v>
      </c>
      <c r="K133" s="85" t="s">
        <v>393</v>
      </c>
      <c r="L133" s="53" t="s">
        <v>216</v>
      </c>
      <c r="M133" s="53" t="s">
        <v>295</v>
      </c>
      <c r="N133" s="53"/>
      <c r="O133" s="85" t="s">
        <v>396</v>
      </c>
      <c r="P133" s="53">
        <v>1</v>
      </c>
      <c r="Q133" s="183">
        <v>50</v>
      </c>
      <c r="R133" s="84">
        <v>0.89250000000000007</v>
      </c>
      <c r="S133" s="53">
        <v>64</v>
      </c>
      <c r="T133" s="53"/>
      <c r="U133" s="53">
        <v>3</v>
      </c>
      <c r="V133" s="53">
        <v>480</v>
      </c>
      <c r="W133" s="53"/>
      <c r="X133" s="53"/>
      <c r="Y133" s="53"/>
      <c r="Z133" s="53"/>
      <c r="AA133" s="53"/>
      <c r="AB133" s="53"/>
      <c r="AC133" s="137" t="s">
        <v>124</v>
      </c>
      <c r="AD133" s="138" t="s">
        <v>118</v>
      </c>
      <c r="AE133" s="83">
        <v>8760</v>
      </c>
      <c r="AF133" s="139">
        <v>1</v>
      </c>
      <c r="AG133" s="139">
        <f t="shared" si="23"/>
        <v>0.82191780821917804</v>
      </c>
      <c r="AH133" s="139">
        <v>0.6</v>
      </c>
      <c r="AI133" s="139">
        <v>0.6</v>
      </c>
      <c r="AJ133" s="83">
        <f t="shared" si="13"/>
        <v>2880</v>
      </c>
      <c r="AK133" s="83">
        <f t="shared" si="14"/>
        <v>4320</v>
      </c>
      <c r="AL133" s="104">
        <f t="shared" si="15"/>
        <v>25.075630252100837</v>
      </c>
      <c r="AM133" s="104">
        <f t="shared" si="16"/>
        <v>25.075630252100837</v>
      </c>
      <c r="AN133" s="83">
        <f t="shared" si="17"/>
        <v>72217.815126050409</v>
      </c>
      <c r="AO133" s="83">
        <f t="shared" si="18"/>
        <v>108326.72268907561</v>
      </c>
      <c r="AP133" s="182">
        <f t="shared" si="19"/>
        <v>246.41729570420165</v>
      </c>
      <c r="AQ133" s="182">
        <f t="shared" si="20"/>
        <v>369.62594355630245</v>
      </c>
      <c r="AR133" s="85"/>
      <c r="AS133" s="85"/>
      <c r="AT133" s="53"/>
      <c r="AU133" s="53"/>
      <c r="AV133" s="53"/>
      <c r="AW133" s="53"/>
      <c r="AX133" s="53"/>
      <c r="AY133" s="53"/>
      <c r="AZ133" s="53"/>
      <c r="BA133" s="53"/>
      <c r="BB133" s="53"/>
      <c r="BC133" s="111">
        <f t="shared" si="21"/>
        <v>72217.815126050409</v>
      </c>
      <c r="BD133" s="111">
        <f t="shared" si="22"/>
        <v>108326.72268907561</v>
      </c>
    </row>
    <row r="134" spans="1:56" ht="54" customHeight="1" x14ac:dyDescent="0.25">
      <c r="A134" s="53">
        <v>124</v>
      </c>
      <c r="B134" s="53"/>
      <c r="C134" s="53"/>
      <c r="D134" s="53" t="s">
        <v>135</v>
      </c>
      <c r="E134" s="53"/>
      <c r="F134" s="53"/>
      <c r="G134" s="53" t="s">
        <v>290</v>
      </c>
      <c r="H134" s="53" t="s">
        <v>291</v>
      </c>
      <c r="I134" s="85" t="s">
        <v>394</v>
      </c>
      <c r="J134" s="85" t="s">
        <v>395</v>
      </c>
      <c r="K134" s="85" t="s">
        <v>360</v>
      </c>
      <c r="L134" s="53" t="s">
        <v>216</v>
      </c>
      <c r="M134" s="53" t="s">
        <v>361</v>
      </c>
      <c r="N134" s="53"/>
      <c r="O134" s="85" t="s">
        <v>135</v>
      </c>
      <c r="P134" s="53">
        <v>1</v>
      </c>
      <c r="Q134" s="183">
        <v>3</v>
      </c>
      <c r="R134" s="84">
        <v>0.87050000000000005</v>
      </c>
      <c r="S134" s="53">
        <v>4.5</v>
      </c>
      <c r="T134" s="53"/>
      <c r="U134" s="53">
        <v>3</v>
      </c>
      <c r="V134" s="53">
        <v>480</v>
      </c>
      <c r="W134" s="53"/>
      <c r="X134" s="53"/>
      <c r="Y134" s="53"/>
      <c r="Z134" s="53"/>
      <c r="AA134" s="53"/>
      <c r="AB134" s="53"/>
      <c r="AC134" s="137" t="s">
        <v>124</v>
      </c>
      <c r="AD134" s="138" t="s">
        <v>118</v>
      </c>
      <c r="AE134" s="83">
        <v>8760</v>
      </c>
      <c r="AF134" s="139">
        <v>1</v>
      </c>
      <c r="AG134" s="139">
        <f t="shared" si="23"/>
        <v>0.82191780821917804</v>
      </c>
      <c r="AH134" s="139">
        <v>0.75</v>
      </c>
      <c r="AI134" s="139">
        <v>0.75</v>
      </c>
      <c r="AJ134" s="83">
        <f t="shared" si="13"/>
        <v>2880</v>
      </c>
      <c r="AK134" s="83">
        <f t="shared" si="14"/>
        <v>4320</v>
      </c>
      <c r="AL134" s="104">
        <f t="shared" si="15"/>
        <v>1.9282021826536473</v>
      </c>
      <c r="AM134" s="104">
        <f t="shared" si="16"/>
        <v>1.9282021826536473</v>
      </c>
      <c r="AN134" s="83">
        <f t="shared" si="17"/>
        <v>5553.2222860425045</v>
      </c>
      <c r="AO134" s="83">
        <f t="shared" si="18"/>
        <v>8329.8334290637558</v>
      </c>
      <c r="AP134" s="182">
        <f t="shared" si="19"/>
        <v>18.948371891097068</v>
      </c>
      <c r="AQ134" s="182">
        <f t="shared" si="20"/>
        <v>28.422557836645602</v>
      </c>
      <c r="AR134" s="85"/>
      <c r="AS134" s="85"/>
      <c r="AT134" s="53"/>
      <c r="AU134" s="53"/>
      <c r="AV134" s="53"/>
      <c r="AW134" s="53"/>
      <c r="AX134" s="53"/>
      <c r="AY134" s="53"/>
      <c r="AZ134" s="53"/>
      <c r="BA134" s="53"/>
      <c r="BB134" s="53"/>
      <c r="BC134" s="111">
        <f t="shared" si="21"/>
        <v>5553.2222860425045</v>
      </c>
      <c r="BD134" s="111">
        <f t="shared" si="22"/>
        <v>8329.8334290637558</v>
      </c>
    </row>
    <row r="135" spans="1:56" ht="69" customHeight="1" x14ac:dyDescent="0.25">
      <c r="A135" s="53">
        <v>125</v>
      </c>
      <c r="B135" s="53"/>
      <c r="C135" s="53"/>
      <c r="D135" s="53" t="s">
        <v>135</v>
      </c>
      <c r="E135" s="53"/>
      <c r="F135" s="53"/>
      <c r="G135" s="53" t="s">
        <v>290</v>
      </c>
      <c r="H135" s="53" t="s">
        <v>291</v>
      </c>
      <c r="I135" s="85" t="s">
        <v>394</v>
      </c>
      <c r="J135" s="85" t="s">
        <v>618</v>
      </c>
      <c r="K135" s="85" t="s">
        <v>365</v>
      </c>
      <c r="L135" s="53" t="s">
        <v>216</v>
      </c>
      <c r="M135" s="53" t="s">
        <v>295</v>
      </c>
      <c r="N135" s="53"/>
      <c r="O135" s="85" t="s">
        <v>619</v>
      </c>
      <c r="P135" s="53">
        <v>1</v>
      </c>
      <c r="Q135" s="183">
        <v>10</v>
      </c>
      <c r="R135" s="84">
        <v>0.87050000000000005</v>
      </c>
      <c r="S135" s="53">
        <v>23</v>
      </c>
      <c r="T135" s="53"/>
      <c r="U135" s="53">
        <v>3</v>
      </c>
      <c r="V135" s="53">
        <v>480</v>
      </c>
      <c r="W135" s="53"/>
      <c r="X135" s="53"/>
      <c r="Y135" s="53"/>
      <c r="Z135" s="53"/>
      <c r="AA135" s="53"/>
      <c r="AB135" s="53"/>
      <c r="AC135" s="137" t="s">
        <v>124</v>
      </c>
      <c r="AD135" s="138" t="s">
        <v>118</v>
      </c>
      <c r="AE135" s="83">
        <v>8760</v>
      </c>
      <c r="AF135" s="139">
        <v>1</v>
      </c>
      <c r="AG135" s="139">
        <f t="shared" si="23"/>
        <v>0.82191780821917804</v>
      </c>
      <c r="AH135" s="139">
        <v>0.6</v>
      </c>
      <c r="AI135" s="139">
        <v>0.6</v>
      </c>
      <c r="AJ135" s="83">
        <f t="shared" si="13"/>
        <v>2880</v>
      </c>
      <c r="AK135" s="83">
        <f t="shared" si="14"/>
        <v>4320</v>
      </c>
      <c r="AL135" s="104">
        <f t="shared" si="15"/>
        <v>5.1418724870763919</v>
      </c>
      <c r="AM135" s="104">
        <f t="shared" si="16"/>
        <v>5.1418724870763919</v>
      </c>
      <c r="AN135" s="83">
        <f t="shared" si="17"/>
        <v>14808.592762780008</v>
      </c>
      <c r="AO135" s="83">
        <f t="shared" si="18"/>
        <v>22212.889144170014</v>
      </c>
      <c r="AP135" s="182">
        <f t="shared" si="19"/>
        <v>50.528991709592177</v>
      </c>
      <c r="AQ135" s="182">
        <f t="shared" si="20"/>
        <v>75.793487564388272</v>
      </c>
      <c r="AR135" s="85"/>
      <c r="AS135" s="85"/>
      <c r="AT135" s="53"/>
      <c r="AU135" s="53"/>
      <c r="AV135" s="53"/>
      <c r="AW135" s="53"/>
      <c r="AX135" s="53"/>
      <c r="AY135" s="53"/>
      <c r="AZ135" s="53"/>
      <c r="BA135" s="53"/>
      <c r="BB135" s="53"/>
      <c r="BC135" s="111">
        <f t="shared" si="21"/>
        <v>14808.592762780008</v>
      </c>
      <c r="BD135" s="111">
        <f t="shared" si="22"/>
        <v>22212.889144170014</v>
      </c>
    </row>
    <row r="136" spans="1:56" ht="54" customHeight="1" x14ac:dyDescent="0.25">
      <c r="A136" s="53">
        <v>126</v>
      </c>
      <c r="B136" s="53"/>
      <c r="C136" s="53"/>
      <c r="D136" s="53" t="s">
        <v>135</v>
      </c>
      <c r="E136" s="53"/>
      <c r="F136" s="53"/>
      <c r="G136" s="53" t="s">
        <v>290</v>
      </c>
      <c r="H136" s="53" t="s">
        <v>291</v>
      </c>
      <c r="I136" s="85" t="s">
        <v>394</v>
      </c>
      <c r="J136" s="85" t="s">
        <v>397</v>
      </c>
      <c r="K136" s="85" t="s">
        <v>393</v>
      </c>
      <c r="L136" s="53" t="s">
        <v>216</v>
      </c>
      <c r="M136" s="53" t="s">
        <v>295</v>
      </c>
      <c r="N136" s="53"/>
      <c r="O136" s="85" t="s">
        <v>398</v>
      </c>
      <c r="P136" s="53">
        <v>1</v>
      </c>
      <c r="Q136" s="183">
        <v>50</v>
      </c>
      <c r="R136" s="84">
        <v>0.89250000000000007</v>
      </c>
      <c r="S136" s="53">
        <v>64</v>
      </c>
      <c r="T136" s="53"/>
      <c r="U136" s="53">
        <v>3</v>
      </c>
      <c r="V136" s="53">
        <v>480</v>
      </c>
      <c r="W136" s="53"/>
      <c r="X136" s="53"/>
      <c r="Y136" s="53"/>
      <c r="Z136" s="53"/>
      <c r="AA136" s="53"/>
      <c r="AB136" s="53"/>
      <c r="AC136" s="137" t="s">
        <v>124</v>
      </c>
      <c r="AD136" s="138" t="s">
        <v>118</v>
      </c>
      <c r="AE136" s="83">
        <v>8760</v>
      </c>
      <c r="AF136" s="139">
        <v>1</v>
      </c>
      <c r="AG136" s="139">
        <f t="shared" si="23"/>
        <v>0.82191780821917804</v>
      </c>
      <c r="AH136" s="139">
        <v>0.6</v>
      </c>
      <c r="AI136" s="139">
        <v>0.6</v>
      </c>
      <c r="AJ136" s="83">
        <f t="shared" si="13"/>
        <v>2880</v>
      </c>
      <c r="AK136" s="83">
        <f t="shared" si="14"/>
        <v>4320</v>
      </c>
      <c r="AL136" s="104">
        <f t="shared" si="15"/>
        <v>25.075630252100837</v>
      </c>
      <c r="AM136" s="104">
        <f t="shared" si="16"/>
        <v>25.075630252100837</v>
      </c>
      <c r="AN136" s="83">
        <f t="shared" si="17"/>
        <v>72217.815126050409</v>
      </c>
      <c r="AO136" s="83">
        <f t="shared" si="18"/>
        <v>108326.72268907561</v>
      </c>
      <c r="AP136" s="182">
        <f t="shared" si="19"/>
        <v>246.41729570420165</v>
      </c>
      <c r="AQ136" s="182">
        <f t="shared" si="20"/>
        <v>369.62594355630245</v>
      </c>
      <c r="AR136" s="85"/>
      <c r="AS136" s="85"/>
      <c r="AT136" s="53"/>
      <c r="AU136" s="53"/>
      <c r="AV136" s="53"/>
      <c r="AW136" s="53"/>
      <c r="AX136" s="53"/>
      <c r="AY136" s="53"/>
      <c r="AZ136" s="53"/>
      <c r="BA136" s="53"/>
      <c r="BB136" s="53"/>
      <c r="BC136" s="111">
        <f t="shared" si="21"/>
        <v>72217.815126050409</v>
      </c>
      <c r="BD136" s="111">
        <f t="shared" si="22"/>
        <v>108326.72268907561</v>
      </c>
    </row>
    <row r="137" spans="1:56" ht="50.25" customHeight="1" x14ac:dyDescent="0.25">
      <c r="A137" s="53">
        <v>127</v>
      </c>
      <c r="B137" s="53"/>
      <c r="C137" s="53"/>
      <c r="D137" s="53" t="s">
        <v>135</v>
      </c>
      <c r="E137" s="53"/>
      <c r="F137" s="53"/>
      <c r="G137" s="53" t="s">
        <v>290</v>
      </c>
      <c r="H137" s="53" t="s">
        <v>291</v>
      </c>
      <c r="I137" s="85" t="s">
        <v>394</v>
      </c>
      <c r="J137" s="85" t="s">
        <v>397</v>
      </c>
      <c r="K137" s="85" t="s">
        <v>360</v>
      </c>
      <c r="L137" s="53" t="s">
        <v>216</v>
      </c>
      <c r="M137" s="53" t="s">
        <v>361</v>
      </c>
      <c r="N137" s="53"/>
      <c r="O137" s="85" t="s">
        <v>135</v>
      </c>
      <c r="P137" s="53">
        <v>1</v>
      </c>
      <c r="Q137" s="183">
        <v>3</v>
      </c>
      <c r="R137" s="84">
        <v>0.87050000000000005</v>
      </c>
      <c r="S137" s="53">
        <v>4.5</v>
      </c>
      <c r="T137" s="53"/>
      <c r="U137" s="53">
        <v>3</v>
      </c>
      <c r="V137" s="53">
        <v>480</v>
      </c>
      <c r="W137" s="53"/>
      <c r="X137" s="53"/>
      <c r="Y137" s="53"/>
      <c r="Z137" s="53"/>
      <c r="AA137" s="53"/>
      <c r="AB137" s="53"/>
      <c r="AC137" s="137" t="s">
        <v>124</v>
      </c>
      <c r="AD137" s="138" t="s">
        <v>118</v>
      </c>
      <c r="AE137" s="83">
        <v>8760</v>
      </c>
      <c r="AF137" s="139">
        <v>1</v>
      </c>
      <c r="AG137" s="139">
        <f t="shared" si="23"/>
        <v>0.82191780821917804</v>
      </c>
      <c r="AH137" s="139">
        <v>0.75</v>
      </c>
      <c r="AI137" s="139">
        <v>0.75</v>
      </c>
      <c r="AJ137" s="83">
        <f t="shared" si="13"/>
        <v>2880</v>
      </c>
      <c r="AK137" s="83">
        <f t="shared" si="14"/>
        <v>4320</v>
      </c>
      <c r="AL137" s="104">
        <f t="shared" si="15"/>
        <v>1.9282021826536473</v>
      </c>
      <c r="AM137" s="104">
        <f t="shared" si="16"/>
        <v>1.9282021826536473</v>
      </c>
      <c r="AN137" s="83">
        <f t="shared" si="17"/>
        <v>5553.2222860425045</v>
      </c>
      <c r="AO137" s="83">
        <f t="shared" si="18"/>
        <v>8329.8334290637558</v>
      </c>
      <c r="AP137" s="182">
        <f t="shared" si="19"/>
        <v>18.948371891097068</v>
      </c>
      <c r="AQ137" s="182">
        <f t="shared" si="20"/>
        <v>28.422557836645602</v>
      </c>
      <c r="AR137" s="85"/>
      <c r="AS137" s="85"/>
      <c r="AT137" s="53"/>
      <c r="AU137" s="53"/>
      <c r="AV137" s="53"/>
      <c r="AW137" s="53"/>
      <c r="AX137" s="53"/>
      <c r="AY137" s="53"/>
      <c r="AZ137" s="53"/>
      <c r="BA137" s="53"/>
      <c r="BB137" s="53"/>
      <c r="BC137" s="111">
        <f t="shared" si="21"/>
        <v>5553.2222860425045</v>
      </c>
      <c r="BD137" s="111">
        <f t="shared" si="22"/>
        <v>8329.8334290637558</v>
      </c>
    </row>
    <row r="138" spans="1:56" ht="42" customHeight="1" x14ac:dyDescent="0.25">
      <c r="A138" s="53">
        <v>128</v>
      </c>
      <c r="B138" s="53"/>
      <c r="C138" s="53"/>
      <c r="D138" s="53" t="s">
        <v>135</v>
      </c>
      <c r="E138" s="53"/>
      <c r="F138" s="53"/>
      <c r="G138" s="53" t="s">
        <v>290</v>
      </c>
      <c r="H138" s="53" t="s">
        <v>291</v>
      </c>
      <c r="I138" s="85" t="s">
        <v>394</v>
      </c>
      <c r="J138" s="85" t="s">
        <v>620</v>
      </c>
      <c r="K138" s="85" t="s">
        <v>365</v>
      </c>
      <c r="L138" s="53" t="s">
        <v>216</v>
      </c>
      <c r="M138" s="53" t="s">
        <v>295</v>
      </c>
      <c r="N138" s="53"/>
      <c r="O138" s="85" t="s">
        <v>619</v>
      </c>
      <c r="P138" s="53">
        <v>1</v>
      </c>
      <c r="Q138" s="183">
        <v>10</v>
      </c>
      <c r="R138" s="84">
        <v>0.87050000000000005</v>
      </c>
      <c r="S138" s="53">
        <v>23</v>
      </c>
      <c r="T138" s="53"/>
      <c r="U138" s="53">
        <v>3</v>
      </c>
      <c r="V138" s="53">
        <v>480</v>
      </c>
      <c r="W138" s="53"/>
      <c r="X138" s="53"/>
      <c r="Y138" s="53"/>
      <c r="Z138" s="53"/>
      <c r="AA138" s="53"/>
      <c r="AB138" s="53"/>
      <c r="AC138" s="137" t="s">
        <v>124</v>
      </c>
      <c r="AD138" s="138" t="s">
        <v>118</v>
      </c>
      <c r="AE138" s="83">
        <v>8760</v>
      </c>
      <c r="AF138" s="139">
        <v>1</v>
      </c>
      <c r="AG138" s="139">
        <f t="shared" si="23"/>
        <v>0.82191780821917804</v>
      </c>
      <c r="AH138" s="139">
        <v>0.6</v>
      </c>
      <c r="AI138" s="139">
        <v>0.6</v>
      </c>
      <c r="AJ138" s="83">
        <f t="shared" si="13"/>
        <v>2880</v>
      </c>
      <c r="AK138" s="83">
        <f t="shared" si="14"/>
        <v>4320</v>
      </c>
      <c r="AL138" s="104">
        <f t="shared" si="15"/>
        <v>5.1418724870763919</v>
      </c>
      <c r="AM138" s="104">
        <f t="shared" si="16"/>
        <v>5.1418724870763919</v>
      </c>
      <c r="AN138" s="83">
        <f t="shared" si="17"/>
        <v>14808.592762780008</v>
      </c>
      <c r="AO138" s="83">
        <f t="shared" si="18"/>
        <v>22212.889144170014</v>
      </c>
      <c r="AP138" s="182">
        <f t="shared" si="19"/>
        <v>50.528991709592177</v>
      </c>
      <c r="AQ138" s="182">
        <f t="shared" si="20"/>
        <v>75.793487564388272</v>
      </c>
      <c r="AR138" s="85"/>
      <c r="AS138" s="85"/>
      <c r="AT138" s="53"/>
      <c r="AU138" s="53"/>
      <c r="AV138" s="53"/>
      <c r="AW138" s="53"/>
      <c r="AX138" s="53"/>
      <c r="AY138" s="53"/>
      <c r="AZ138" s="53"/>
      <c r="BA138" s="53"/>
      <c r="BB138" s="53"/>
      <c r="BC138" s="111">
        <f t="shared" si="21"/>
        <v>14808.592762780008</v>
      </c>
      <c r="BD138" s="111">
        <f t="shared" si="22"/>
        <v>22212.889144170014</v>
      </c>
    </row>
    <row r="139" spans="1:56" ht="61.5" customHeight="1" x14ac:dyDescent="0.25">
      <c r="A139" s="53">
        <v>129</v>
      </c>
      <c r="B139" s="53"/>
      <c r="C139" s="53"/>
      <c r="D139" s="53" t="s">
        <v>135</v>
      </c>
      <c r="E139" s="53"/>
      <c r="F139" s="53"/>
      <c r="G139" s="53" t="s">
        <v>290</v>
      </c>
      <c r="H139" s="53" t="s">
        <v>291</v>
      </c>
      <c r="I139" s="85" t="s">
        <v>394</v>
      </c>
      <c r="J139" s="85" t="s">
        <v>399</v>
      </c>
      <c r="K139" s="85" t="s">
        <v>393</v>
      </c>
      <c r="L139" s="53" t="s">
        <v>216</v>
      </c>
      <c r="M139" s="53" t="s">
        <v>295</v>
      </c>
      <c r="N139" s="53"/>
      <c r="O139" s="85" t="s">
        <v>400</v>
      </c>
      <c r="P139" s="53">
        <v>1</v>
      </c>
      <c r="Q139" s="183">
        <v>50</v>
      </c>
      <c r="R139" s="84">
        <v>0.89250000000000007</v>
      </c>
      <c r="S139" s="53">
        <v>64</v>
      </c>
      <c r="T139" s="53"/>
      <c r="U139" s="53">
        <v>3</v>
      </c>
      <c r="V139" s="53">
        <v>480</v>
      </c>
      <c r="W139" s="53"/>
      <c r="X139" s="53"/>
      <c r="Y139" s="53"/>
      <c r="Z139" s="53"/>
      <c r="AA139" s="53"/>
      <c r="AB139" s="53"/>
      <c r="AC139" s="137" t="s">
        <v>124</v>
      </c>
      <c r="AD139" s="138" t="s">
        <v>118</v>
      </c>
      <c r="AE139" s="83">
        <v>8760</v>
      </c>
      <c r="AF139" s="139">
        <v>1</v>
      </c>
      <c r="AG139" s="139">
        <f t="shared" ref="AG139:AG172" si="24">$AB$7</f>
        <v>0.82191780821917804</v>
      </c>
      <c r="AH139" s="139">
        <v>0.6</v>
      </c>
      <c r="AI139" s="139">
        <v>0.6</v>
      </c>
      <c r="AJ139" s="83">
        <f t="shared" ref="AJ139:AJ202" si="25">$AE139*AG139*$AA$3</f>
        <v>2880</v>
      </c>
      <c r="AK139" s="83">
        <f t="shared" ref="AK139:AK202" si="26">$AE139*AG139*$AA$4</f>
        <v>4320</v>
      </c>
      <c r="AL139" s="104">
        <f t="shared" ref="AL139:AL202" si="27">IF($Q139&gt;0,((($P139*$Q139*$AP$2/$R139)*$AH139)),IF($U139=1,($AV139*$AF139*$AH139),((1.732*($V139/1000)*$S139*$AP$3*$AF139*$AH139*$P139))))</f>
        <v>25.075630252100837</v>
      </c>
      <c r="AM139" s="104">
        <f t="shared" ref="AM139:AM202" si="28">IF($Q139&gt;0,((($P139*$Q139*$AP$2/$R139)*$AI139)),IF($U139=1,($AV139*$AF139*$AI139),((1.732*($V139/1000)*$S139*$AP$3*$AF139*$AI139*$P139))))</f>
        <v>25.075630252100837</v>
      </c>
      <c r="AN139" s="83">
        <f t="shared" ref="AN139:AN202" si="29">AL139*AJ139</f>
        <v>72217.815126050409</v>
      </c>
      <c r="AO139" s="83">
        <f t="shared" ref="AO139:AO202" si="30">AM139*AK139</f>
        <v>108326.72268907561</v>
      </c>
      <c r="AP139" s="182">
        <f t="shared" ref="AP139:AP202" si="31">AN139*$AP$7/1000000</f>
        <v>246.41729570420165</v>
      </c>
      <c r="AQ139" s="182">
        <f t="shared" ref="AQ139:AQ202" si="32">AO139*$AQ$7/1000000</f>
        <v>369.62594355630245</v>
      </c>
      <c r="AR139" s="85"/>
      <c r="AS139" s="85"/>
      <c r="AT139" s="53"/>
      <c r="AU139" s="53"/>
      <c r="AV139" s="53"/>
      <c r="AW139" s="53"/>
      <c r="AX139" s="53"/>
      <c r="AY139" s="53"/>
      <c r="AZ139" s="53"/>
      <c r="BA139" s="53"/>
      <c r="BB139" s="53"/>
      <c r="BC139" s="111">
        <f t="shared" ref="BC139:BC202" si="33">AN139</f>
        <v>72217.815126050409</v>
      </c>
      <c r="BD139" s="111">
        <f t="shared" ref="BD139:BD202" si="34">AO139</f>
        <v>108326.72268907561</v>
      </c>
    </row>
    <row r="140" spans="1:56" ht="44.25" customHeight="1" x14ac:dyDescent="0.25">
      <c r="A140" s="53">
        <v>130</v>
      </c>
      <c r="B140" s="53"/>
      <c r="C140" s="53"/>
      <c r="D140" s="53" t="s">
        <v>135</v>
      </c>
      <c r="E140" s="53"/>
      <c r="F140" s="53"/>
      <c r="G140" s="53" t="s">
        <v>290</v>
      </c>
      <c r="H140" s="53" t="s">
        <v>291</v>
      </c>
      <c r="I140" s="85" t="s">
        <v>459</v>
      </c>
      <c r="J140" s="85" t="s">
        <v>460</v>
      </c>
      <c r="K140" s="85" t="s">
        <v>294</v>
      </c>
      <c r="L140" s="53" t="s">
        <v>216</v>
      </c>
      <c r="M140" s="53" t="s">
        <v>295</v>
      </c>
      <c r="N140" s="53"/>
      <c r="O140" s="85" t="s">
        <v>135</v>
      </c>
      <c r="P140" s="53">
        <v>1</v>
      </c>
      <c r="Q140" s="183">
        <v>40</v>
      </c>
      <c r="R140" s="84">
        <v>0.89250000000000007</v>
      </c>
      <c r="S140" s="53">
        <v>49</v>
      </c>
      <c r="T140" s="53"/>
      <c r="U140" s="53">
        <v>3</v>
      </c>
      <c r="V140" s="53">
        <v>480</v>
      </c>
      <c r="W140" s="53"/>
      <c r="X140" s="53"/>
      <c r="Y140" s="53"/>
      <c r="Z140" s="53"/>
      <c r="AA140" s="53"/>
      <c r="AB140" s="53"/>
      <c r="AC140" s="137" t="s">
        <v>124</v>
      </c>
      <c r="AD140" s="138" t="s">
        <v>118</v>
      </c>
      <c r="AE140" s="83">
        <v>8760</v>
      </c>
      <c r="AF140" s="139">
        <v>1</v>
      </c>
      <c r="AG140" s="139">
        <f t="shared" si="24"/>
        <v>0.82191780821917804</v>
      </c>
      <c r="AH140" s="139">
        <v>0.6</v>
      </c>
      <c r="AI140" s="139">
        <v>0.6</v>
      </c>
      <c r="AJ140" s="83">
        <f t="shared" si="25"/>
        <v>2880</v>
      </c>
      <c r="AK140" s="83">
        <f t="shared" si="26"/>
        <v>4320</v>
      </c>
      <c r="AL140" s="104">
        <f t="shared" si="27"/>
        <v>20.060504201680669</v>
      </c>
      <c r="AM140" s="104">
        <f t="shared" si="28"/>
        <v>20.060504201680669</v>
      </c>
      <c r="AN140" s="83">
        <f t="shared" si="29"/>
        <v>57774.252100840327</v>
      </c>
      <c r="AO140" s="83">
        <f t="shared" si="30"/>
        <v>86661.378151260491</v>
      </c>
      <c r="AP140" s="182">
        <f t="shared" si="31"/>
        <v>197.13383656336131</v>
      </c>
      <c r="AQ140" s="182">
        <f t="shared" si="32"/>
        <v>295.70075484504201</v>
      </c>
      <c r="AR140" s="85"/>
      <c r="AS140" s="85"/>
      <c r="AT140" s="53"/>
      <c r="AU140" s="53"/>
      <c r="AV140" s="53"/>
      <c r="AW140" s="53"/>
      <c r="AX140" s="53"/>
      <c r="AY140" s="53"/>
      <c r="AZ140" s="53"/>
      <c r="BA140" s="53"/>
      <c r="BB140" s="53"/>
      <c r="BC140" s="111">
        <f t="shared" si="33"/>
        <v>57774.252100840327</v>
      </c>
      <c r="BD140" s="111">
        <f t="shared" si="34"/>
        <v>86661.378151260491</v>
      </c>
    </row>
    <row r="141" spans="1:56" ht="41.25" customHeight="1" x14ac:dyDescent="0.25">
      <c r="A141" s="53">
        <v>131</v>
      </c>
      <c r="B141" s="53"/>
      <c r="C141" s="53"/>
      <c r="D141" s="53" t="s">
        <v>135</v>
      </c>
      <c r="E141" s="53"/>
      <c r="F141" s="53"/>
      <c r="G141" s="53" t="s">
        <v>290</v>
      </c>
      <c r="H141" s="53" t="s">
        <v>291</v>
      </c>
      <c r="I141" s="85" t="s">
        <v>459</v>
      </c>
      <c r="J141" s="85" t="s">
        <v>751</v>
      </c>
      <c r="K141" s="85" t="s">
        <v>360</v>
      </c>
      <c r="L141" s="53" t="s">
        <v>216</v>
      </c>
      <c r="M141" s="53" t="s">
        <v>361</v>
      </c>
      <c r="N141" s="53"/>
      <c r="O141" s="85" t="s">
        <v>135</v>
      </c>
      <c r="P141" s="53">
        <v>1</v>
      </c>
      <c r="Q141" s="183">
        <v>3</v>
      </c>
      <c r="R141" s="84">
        <v>0.87050000000000005</v>
      </c>
      <c r="S141" s="53">
        <v>4.8</v>
      </c>
      <c r="T141" s="53"/>
      <c r="U141" s="53">
        <v>3</v>
      </c>
      <c r="V141" s="53">
        <v>480</v>
      </c>
      <c r="W141" s="53"/>
      <c r="X141" s="53"/>
      <c r="Y141" s="53"/>
      <c r="Z141" s="53"/>
      <c r="AA141" s="53"/>
      <c r="AB141" s="53"/>
      <c r="AC141" s="137" t="s">
        <v>124</v>
      </c>
      <c r="AD141" s="138" t="s">
        <v>118</v>
      </c>
      <c r="AE141" s="83">
        <v>8760</v>
      </c>
      <c r="AF141" s="139">
        <v>1</v>
      </c>
      <c r="AG141" s="139">
        <f t="shared" si="24"/>
        <v>0.82191780821917804</v>
      </c>
      <c r="AH141" s="139">
        <v>0.75</v>
      </c>
      <c r="AI141" s="139">
        <v>0.75</v>
      </c>
      <c r="AJ141" s="83">
        <f t="shared" si="25"/>
        <v>2880</v>
      </c>
      <c r="AK141" s="83">
        <f t="shared" si="26"/>
        <v>4320</v>
      </c>
      <c r="AL141" s="104">
        <f t="shared" si="27"/>
        <v>1.9282021826536473</v>
      </c>
      <c r="AM141" s="104">
        <f t="shared" si="28"/>
        <v>1.9282021826536473</v>
      </c>
      <c r="AN141" s="83">
        <f t="shared" si="29"/>
        <v>5553.2222860425045</v>
      </c>
      <c r="AO141" s="83">
        <f t="shared" si="30"/>
        <v>8329.8334290637558</v>
      </c>
      <c r="AP141" s="182">
        <f t="shared" si="31"/>
        <v>18.948371891097068</v>
      </c>
      <c r="AQ141" s="182">
        <f t="shared" si="32"/>
        <v>28.422557836645602</v>
      </c>
      <c r="AR141" s="85"/>
      <c r="AS141" s="85"/>
      <c r="AT141" s="53"/>
      <c r="AU141" s="53"/>
      <c r="AV141" s="53"/>
      <c r="AW141" s="53"/>
      <c r="AX141" s="53"/>
      <c r="AY141" s="53"/>
      <c r="AZ141" s="53"/>
      <c r="BA141" s="53"/>
      <c r="BB141" s="53"/>
      <c r="BC141" s="111">
        <f t="shared" si="33"/>
        <v>5553.2222860425045</v>
      </c>
      <c r="BD141" s="111">
        <f t="shared" si="34"/>
        <v>8329.8334290637558</v>
      </c>
    </row>
    <row r="142" spans="1:56" ht="60.75" customHeight="1" x14ac:dyDescent="0.25">
      <c r="A142" s="53">
        <v>132</v>
      </c>
      <c r="B142" s="53"/>
      <c r="C142" s="53"/>
      <c r="D142" s="53" t="s">
        <v>135</v>
      </c>
      <c r="E142" s="53"/>
      <c r="F142" s="53"/>
      <c r="G142" s="53" t="s">
        <v>290</v>
      </c>
      <c r="H142" s="53" t="s">
        <v>291</v>
      </c>
      <c r="I142" s="85" t="s">
        <v>461</v>
      </c>
      <c r="J142" s="85" t="s">
        <v>462</v>
      </c>
      <c r="K142" s="85" t="s">
        <v>294</v>
      </c>
      <c r="L142" s="53" t="s">
        <v>216</v>
      </c>
      <c r="M142" s="53" t="s">
        <v>295</v>
      </c>
      <c r="N142" s="53"/>
      <c r="O142" s="85" t="s">
        <v>135</v>
      </c>
      <c r="P142" s="53">
        <v>1</v>
      </c>
      <c r="Q142" s="183">
        <v>40</v>
      </c>
      <c r="R142" s="84">
        <v>0.89250000000000007</v>
      </c>
      <c r="S142" s="53">
        <v>49</v>
      </c>
      <c r="T142" s="53"/>
      <c r="U142" s="53">
        <v>3</v>
      </c>
      <c r="V142" s="53">
        <v>480</v>
      </c>
      <c r="W142" s="53"/>
      <c r="X142" s="53"/>
      <c r="Y142" s="53"/>
      <c r="Z142" s="53"/>
      <c r="AA142" s="53"/>
      <c r="AB142" s="53"/>
      <c r="AC142" s="137" t="s">
        <v>124</v>
      </c>
      <c r="AD142" s="138" t="s">
        <v>118</v>
      </c>
      <c r="AE142" s="83">
        <v>8760</v>
      </c>
      <c r="AF142" s="139">
        <v>1</v>
      </c>
      <c r="AG142" s="139">
        <f t="shared" si="24"/>
        <v>0.82191780821917804</v>
      </c>
      <c r="AH142" s="139">
        <v>0.6</v>
      </c>
      <c r="AI142" s="139">
        <v>0.6</v>
      </c>
      <c r="AJ142" s="83">
        <f t="shared" si="25"/>
        <v>2880</v>
      </c>
      <c r="AK142" s="83">
        <f t="shared" si="26"/>
        <v>4320</v>
      </c>
      <c r="AL142" s="104">
        <f t="shared" si="27"/>
        <v>20.060504201680669</v>
      </c>
      <c r="AM142" s="104">
        <f t="shared" si="28"/>
        <v>20.060504201680669</v>
      </c>
      <c r="AN142" s="83">
        <f t="shared" si="29"/>
        <v>57774.252100840327</v>
      </c>
      <c r="AO142" s="83">
        <f t="shared" si="30"/>
        <v>86661.378151260491</v>
      </c>
      <c r="AP142" s="182">
        <f t="shared" si="31"/>
        <v>197.13383656336131</v>
      </c>
      <c r="AQ142" s="182">
        <f t="shared" si="32"/>
        <v>295.70075484504201</v>
      </c>
      <c r="AR142" s="85"/>
      <c r="AS142" s="85"/>
      <c r="AT142" s="53"/>
      <c r="AU142" s="53"/>
      <c r="AV142" s="53"/>
      <c r="AW142" s="53"/>
      <c r="AX142" s="53"/>
      <c r="AY142" s="53"/>
      <c r="AZ142" s="53"/>
      <c r="BA142" s="53"/>
      <c r="BB142" s="53"/>
      <c r="BC142" s="111">
        <f t="shared" si="33"/>
        <v>57774.252100840327</v>
      </c>
      <c r="BD142" s="111">
        <f t="shared" si="34"/>
        <v>86661.378151260491</v>
      </c>
    </row>
    <row r="143" spans="1:56" ht="60.75" customHeight="1" x14ac:dyDescent="0.25">
      <c r="A143" s="53">
        <v>133</v>
      </c>
      <c r="B143" s="53"/>
      <c r="C143" s="53"/>
      <c r="D143" s="53" t="s">
        <v>135</v>
      </c>
      <c r="E143" s="53"/>
      <c r="F143" s="53"/>
      <c r="G143" s="53" t="s">
        <v>290</v>
      </c>
      <c r="H143" s="53" t="s">
        <v>291</v>
      </c>
      <c r="I143" s="85" t="s">
        <v>461</v>
      </c>
      <c r="J143" s="85" t="s">
        <v>752</v>
      </c>
      <c r="K143" s="85" t="s">
        <v>360</v>
      </c>
      <c r="L143" s="53" t="s">
        <v>216</v>
      </c>
      <c r="M143" s="53" t="s">
        <v>361</v>
      </c>
      <c r="N143" s="53"/>
      <c r="O143" s="85" t="s">
        <v>135</v>
      </c>
      <c r="P143" s="53">
        <v>1</v>
      </c>
      <c r="Q143" s="183">
        <v>3</v>
      </c>
      <c r="R143" s="84">
        <v>0.87050000000000005</v>
      </c>
      <c r="S143" s="53">
        <v>4.8</v>
      </c>
      <c r="T143" s="53"/>
      <c r="U143" s="53">
        <v>3</v>
      </c>
      <c r="V143" s="53">
        <v>480</v>
      </c>
      <c r="W143" s="53"/>
      <c r="X143" s="53"/>
      <c r="Y143" s="53"/>
      <c r="Z143" s="53"/>
      <c r="AA143" s="53"/>
      <c r="AB143" s="53"/>
      <c r="AC143" s="137" t="s">
        <v>124</v>
      </c>
      <c r="AD143" s="138" t="s">
        <v>118</v>
      </c>
      <c r="AE143" s="83">
        <v>8760</v>
      </c>
      <c r="AF143" s="139">
        <v>1</v>
      </c>
      <c r="AG143" s="139">
        <f t="shared" si="24"/>
        <v>0.82191780821917804</v>
      </c>
      <c r="AH143" s="139">
        <v>0.75</v>
      </c>
      <c r="AI143" s="139">
        <v>0.75</v>
      </c>
      <c r="AJ143" s="83">
        <f t="shared" si="25"/>
        <v>2880</v>
      </c>
      <c r="AK143" s="83">
        <f t="shared" si="26"/>
        <v>4320</v>
      </c>
      <c r="AL143" s="104">
        <f t="shared" si="27"/>
        <v>1.9282021826536473</v>
      </c>
      <c r="AM143" s="104">
        <f t="shared" si="28"/>
        <v>1.9282021826536473</v>
      </c>
      <c r="AN143" s="83">
        <f t="shared" si="29"/>
        <v>5553.2222860425045</v>
      </c>
      <c r="AO143" s="83">
        <f t="shared" si="30"/>
        <v>8329.8334290637558</v>
      </c>
      <c r="AP143" s="182">
        <f t="shared" si="31"/>
        <v>18.948371891097068</v>
      </c>
      <c r="AQ143" s="182">
        <f t="shared" si="32"/>
        <v>28.422557836645602</v>
      </c>
      <c r="AR143" s="85"/>
      <c r="AS143" s="85"/>
      <c r="AT143" s="53"/>
      <c r="AU143" s="53"/>
      <c r="AV143" s="53"/>
      <c r="AW143" s="53"/>
      <c r="AX143" s="53"/>
      <c r="AY143" s="53"/>
      <c r="AZ143" s="53"/>
      <c r="BA143" s="53"/>
      <c r="BB143" s="53"/>
      <c r="BC143" s="111">
        <f t="shared" si="33"/>
        <v>5553.2222860425045</v>
      </c>
      <c r="BD143" s="111">
        <f t="shared" si="34"/>
        <v>8329.8334290637558</v>
      </c>
    </row>
    <row r="144" spans="1:56" ht="42" customHeight="1" x14ac:dyDescent="0.25">
      <c r="A144" s="53">
        <v>134</v>
      </c>
      <c r="B144" s="53"/>
      <c r="C144" s="53"/>
      <c r="D144" s="53" t="s">
        <v>135</v>
      </c>
      <c r="E144" s="53"/>
      <c r="F144" s="53"/>
      <c r="G144" s="53" t="s">
        <v>290</v>
      </c>
      <c r="H144" s="53" t="s">
        <v>291</v>
      </c>
      <c r="I144" s="85" t="s">
        <v>459</v>
      </c>
      <c r="J144" s="85" t="s">
        <v>621</v>
      </c>
      <c r="K144" s="85" t="s">
        <v>365</v>
      </c>
      <c r="L144" s="53" t="s">
        <v>216</v>
      </c>
      <c r="M144" s="53" t="s">
        <v>295</v>
      </c>
      <c r="N144" s="53"/>
      <c r="O144" s="85" t="s">
        <v>622</v>
      </c>
      <c r="P144" s="53">
        <v>1</v>
      </c>
      <c r="Q144" s="183">
        <v>10</v>
      </c>
      <c r="R144" s="84">
        <v>0.87050000000000005</v>
      </c>
      <c r="S144" s="53">
        <v>14</v>
      </c>
      <c r="T144" s="53"/>
      <c r="U144" s="53">
        <v>3</v>
      </c>
      <c r="V144" s="53">
        <v>480</v>
      </c>
      <c r="W144" s="53"/>
      <c r="X144" s="53"/>
      <c r="Y144" s="53"/>
      <c r="Z144" s="53"/>
      <c r="AA144" s="53"/>
      <c r="AB144" s="53"/>
      <c r="AC144" s="137" t="s">
        <v>124</v>
      </c>
      <c r="AD144" s="138" t="s">
        <v>118</v>
      </c>
      <c r="AE144" s="83">
        <v>8760</v>
      </c>
      <c r="AF144" s="139">
        <v>1</v>
      </c>
      <c r="AG144" s="139">
        <f t="shared" si="24"/>
        <v>0.82191780821917804</v>
      </c>
      <c r="AH144" s="139">
        <v>0.6</v>
      </c>
      <c r="AI144" s="139">
        <v>0.6</v>
      </c>
      <c r="AJ144" s="83">
        <f t="shared" si="25"/>
        <v>2880</v>
      </c>
      <c r="AK144" s="83">
        <f t="shared" si="26"/>
        <v>4320</v>
      </c>
      <c r="AL144" s="104">
        <f t="shared" si="27"/>
        <v>5.1418724870763919</v>
      </c>
      <c r="AM144" s="104">
        <f t="shared" si="28"/>
        <v>5.1418724870763919</v>
      </c>
      <c r="AN144" s="83">
        <f t="shared" si="29"/>
        <v>14808.592762780008</v>
      </c>
      <c r="AO144" s="83">
        <f t="shared" si="30"/>
        <v>22212.889144170014</v>
      </c>
      <c r="AP144" s="182">
        <f t="shared" si="31"/>
        <v>50.528991709592177</v>
      </c>
      <c r="AQ144" s="182">
        <f t="shared" si="32"/>
        <v>75.793487564388272</v>
      </c>
      <c r="AR144" s="85"/>
      <c r="AS144" s="85"/>
      <c r="AT144" s="53"/>
      <c r="AU144" s="53"/>
      <c r="AV144" s="53"/>
      <c r="AW144" s="53"/>
      <c r="AX144" s="53"/>
      <c r="AY144" s="53"/>
      <c r="AZ144" s="53"/>
      <c r="BA144" s="53"/>
      <c r="BB144" s="53"/>
      <c r="BC144" s="111">
        <f t="shared" si="33"/>
        <v>14808.592762780008</v>
      </c>
      <c r="BD144" s="111">
        <f t="shared" si="34"/>
        <v>22212.889144170014</v>
      </c>
    </row>
    <row r="145" spans="1:56" ht="48.75" customHeight="1" x14ac:dyDescent="0.25">
      <c r="A145" s="53">
        <v>135</v>
      </c>
      <c r="B145" s="53"/>
      <c r="C145" s="53"/>
      <c r="D145" s="53" t="s">
        <v>135</v>
      </c>
      <c r="E145" s="53"/>
      <c r="F145" s="53"/>
      <c r="G145" s="53" t="s">
        <v>290</v>
      </c>
      <c r="H145" s="53" t="s">
        <v>291</v>
      </c>
      <c r="I145" s="85" t="s">
        <v>459</v>
      </c>
      <c r="J145" s="85" t="s">
        <v>623</v>
      </c>
      <c r="K145" s="85" t="s">
        <v>365</v>
      </c>
      <c r="L145" s="53" t="s">
        <v>216</v>
      </c>
      <c r="M145" s="53" t="s">
        <v>361</v>
      </c>
      <c r="N145" s="53"/>
      <c r="O145" s="85" t="s">
        <v>624</v>
      </c>
      <c r="P145" s="53">
        <v>1</v>
      </c>
      <c r="Q145" s="183">
        <v>10</v>
      </c>
      <c r="R145" s="84">
        <v>0.87050000000000005</v>
      </c>
      <c r="S145" s="53">
        <v>14</v>
      </c>
      <c r="T145" s="53"/>
      <c r="U145" s="53">
        <v>3</v>
      </c>
      <c r="V145" s="53">
        <v>480</v>
      </c>
      <c r="W145" s="53"/>
      <c r="X145" s="53"/>
      <c r="Y145" s="53"/>
      <c r="Z145" s="53"/>
      <c r="AA145" s="53"/>
      <c r="AB145" s="53"/>
      <c r="AC145" s="137" t="s">
        <v>124</v>
      </c>
      <c r="AD145" s="138" t="s">
        <v>118</v>
      </c>
      <c r="AE145" s="83">
        <v>8760</v>
      </c>
      <c r="AF145" s="139">
        <v>1</v>
      </c>
      <c r="AG145" s="139">
        <f t="shared" si="24"/>
        <v>0.82191780821917804</v>
      </c>
      <c r="AH145" s="139">
        <v>0.6</v>
      </c>
      <c r="AI145" s="139">
        <v>0.6</v>
      </c>
      <c r="AJ145" s="83">
        <f t="shared" si="25"/>
        <v>2880</v>
      </c>
      <c r="AK145" s="83">
        <f t="shared" si="26"/>
        <v>4320</v>
      </c>
      <c r="AL145" s="104">
        <f t="shared" si="27"/>
        <v>5.1418724870763919</v>
      </c>
      <c r="AM145" s="104">
        <f t="shared" si="28"/>
        <v>5.1418724870763919</v>
      </c>
      <c r="AN145" s="83">
        <f t="shared" si="29"/>
        <v>14808.592762780008</v>
      </c>
      <c r="AO145" s="83">
        <f t="shared" si="30"/>
        <v>22212.889144170014</v>
      </c>
      <c r="AP145" s="182">
        <f t="shared" si="31"/>
        <v>50.528991709592177</v>
      </c>
      <c r="AQ145" s="182">
        <f t="shared" si="32"/>
        <v>75.793487564388272</v>
      </c>
      <c r="AR145" s="85"/>
      <c r="AS145" s="85"/>
      <c r="AT145" s="53"/>
      <c r="AU145" s="53"/>
      <c r="AV145" s="53"/>
      <c r="AW145" s="53"/>
      <c r="AX145" s="53"/>
      <c r="AY145" s="53"/>
      <c r="AZ145" s="53"/>
      <c r="BA145" s="53"/>
      <c r="BB145" s="53"/>
      <c r="BC145" s="111">
        <f t="shared" si="33"/>
        <v>14808.592762780008</v>
      </c>
      <c r="BD145" s="111">
        <f t="shared" si="34"/>
        <v>22212.889144170014</v>
      </c>
    </row>
    <row r="146" spans="1:56" ht="38.25" customHeight="1" x14ac:dyDescent="0.25">
      <c r="A146" s="53">
        <v>136</v>
      </c>
      <c r="B146" s="53"/>
      <c r="C146" s="53"/>
      <c r="D146" s="53" t="s">
        <v>135</v>
      </c>
      <c r="E146" s="53"/>
      <c r="F146" s="53"/>
      <c r="G146" s="53" t="s">
        <v>290</v>
      </c>
      <c r="H146" s="53" t="s">
        <v>291</v>
      </c>
      <c r="I146" s="85" t="s">
        <v>459</v>
      </c>
      <c r="J146" s="85" t="s">
        <v>682</v>
      </c>
      <c r="K146" s="85" t="s">
        <v>365</v>
      </c>
      <c r="L146" s="53" t="s">
        <v>216</v>
      </c>
      <c r="M146" s="53" t="s">
        <v>295</v>
      </c>
      <c r="N146" s="53"/>
      <c r="O146" s="85" t="s">
        <v>683</v>
      </c>
      <c r="P146" s="53">
        <v>1</v>
      </c>
      <c r="Q146" s="183">
        <v>7.5</v>
      </c>
      <c r="R146" s="84">
        <v>0.87050000000000005</v>
      </c>
      <c r="S146" s="53">
        <v>10</v>
      </c>
      <c r="T146" s="53"/>
      <c r="U146" s="53">
        <v>3</v>
      </c>
      <c r="V146" s="53">
        <v>480</v>
      </c>
      <c r="W146" s="53"/>
      <c r="X146" s="53"/>
      <c r="Y146" s="53"/>
      <c r="Z146" s="53"/>
      <c r="AA146" s="53"/>
      <c r="AB146" s="53"/>
      <c r="AC146" s="137" t="s">
        <v>124</v>
      </c>
      <c r="AD146" s="138" t="s">
        <v>118</v>
      </c>
      <c r="AE146" s="83">
        <v>8760</v>
      </c>
      <c r="AF146" s="139">
        <v>1</v>
      </c>
      <c r="AG146" s="139">
        <f t="shared" si="24"/>
        <v>0.82191780821917804</v>
      </c>
      <c r="AH146" s="139">
        <v>0.6</v>
      </c>
      <c r="AI146" s="139">
        <v>0.6</v>
      </c>
      <c r="AJ146" s="83">
        <f t="shared" si="25"/>
        <v>2880</v>
      </c>
      <c r="AK146" s="83">
        <f t="shared" si="26"/>
        <v>4320</v>
      </c>
      <c r="AL146" s="104">
        <f t="shared" si="27"/>
        <v>3.8564043653072941</v>
      </c>
      <c r="AM146" s="104">
        <f t="shared" si="28"/>
        <v>3.8564043653072941</v>
      </c>
      <c r="AN146" s="83">
        <f t="shared" si="29"/>
        <v>11106.444572085007</v>
      </c>
      <c r="AO146" s="83">
        <f t="shared" si="30"/>
        <v>16659.666858127512</v>
      </c>
      <c r="AP146" s="182">
        <f t="shared" si="31"/>
        <v>37.896743782194136</v>
      </c>
      <c r="AQ146" s="182">
        <f t="shared" si="32"/>
        <v>56.845115673291204</v>
      </c>
      <c r="AR146" s="85"/>
      <c r="AS146" s="85"/>
      <c r="AT146" s="53"/>
      <c r="AU146" s="53"/>
      <c r="AV146" s="53"/>
      <c r="AW146" s="53"/>
      <c r="AX146" s="53"/>
      <c r="AY146" s="53"/>
      <c r="AZ146" s="53"/>
      <c r="BA146" s="53"/>
      <c r="BB146" s="53"/>
      <c r="BC146" s="111">
        <f t="shared" si="33"/>
        <v>11106.444572085007</v>
      </c>
      <c r="BD146" s="111">
        <f t="shared" si="34"/>
        <v>16659.666858127512</v>
      </c>
    </row>
    <row r="147" spans="1:56" ht="51.75" customHeight="1" x14ac:dyDescent="0.25">
      <c r="A147" s="53">
        <v>137</v>
      </c>
      <c r="B147" s="53"/>
      <c r="C147" s="53"/>
      <c r="D147" s="53" t="s">
        <v>135</v>
      </c>
      <c r="E147" s="53"/>
      <c r="F147" s="53"/>
      <c r="G147" s="53" t="s">
        <v>290</v>
      </c>
      <c r="H147" s="53" t="s">
        <v>291</v>
      </c>
      <c r="I147" s="85" t="s">
        <v>459</v>
      </c>
      <c r="J147" s="85" t="s">
        <v>625</v>
      </c>
      <c r="K147" s="85" t="s">
        <v>365</v>
      </c>
      <c r="L147" s="53" t="s">
        <v>216</v>
      </c>
      <c r="M147" s="53" t="s">
        <v>295</v>
      </c>
      <c r="N147" s="53"/>
      <c r="O147" s="85" t="s">
        <v>626</v>
      </c>
      <c r="P147" s="53">
        <v>1</v>
      </c>
      <c r="Q147" s="183">
        <v>10</v>
      </c>
      <c r="R147" s="84">
        <v>0.87050000000000005</v>
      </c>
      <c r="S147" s="53">
        <v>14</v>
      </c>
      <c r="T147" s="53"/>
      <c r="U147" s="53">
        <v>3</v>
      </c>
      <c r="V147" s="53">
        <v>480</v>
      </c>
      <c r="W147" s="53"/>
      <c r="X147" s="53"/>
      <c r="Y147" s="53"/>
      <c r="Z147" s="53"/>
      <c r="AA147" s="53"/>
      <c r="AB147" s="53"/>
      <c r="AC147" s="137" t="s">
        <v>124</v>
      </c>
      <c r="AD147" s="138" t="s">
        <v>118</v>
      </c>
      <c r="AE147" s="83">
        <v>8760</v>
      </c>
      <c r="AF147" s="139">
        <v>1</v>
      </c>
      <c r="AG147" s="139">
        <f t="shared" si="24"/>
        <v>0.82191780821917804</v>
      </c>
      <c r="AH147" s="139">
        <v>0.6</v>
      </c>
      <c r="AI147" s="139">
        <v>0.6</v>
      </c>
      <c r="AJ147" s="83">
        <f t="shared" si="25"/>
        <v>2880</v>
      </c>
      <c r="AK147" s="83">
        <f t="shared" si="26"/>
        <v>4320</v>
      </c>
      <c r="AL147" s="104">
        <f t="shared" si="27"/>
        <v>5.1418724870763919</v>
      </c>
      <c r="AM147" s="104">
        <f t="shared" si="28"/>
        <v>5.1418724870763919</v>
      </c>
      <c r="AN147" s="83">
        <f t="shared" si="29"/>
        <v>14808.592762780008</v>
      </c>
      <c r="AO147" s="83">
        <f t="shared" si="30"/>
        <v>22212.889144170014</v>
      </c>
      <c r="AP147" s="182">
        <f t="shared" si="31"/>
        <v>50.528991709592177</v>
      </c>
      <c r="AQ147" s="182">
        <f t="shared" si="32"/>
        <v>75.793487564388272</v>
      </c>
      <c r="AR147" s="85"/>
      <c r="AS147" s="85"/>
      <c r="AT147" s="53"/>
      <c r="AU147" s="53"/>
      <c r="AV147" s="53"/>
      <c r="AW147" s="53"/>
      <c r="AX147" s="53"/>
      <c r="AY147" s="53"/>
      <c r="AZ147" s="53"/>
      <c r="BA147" s="53"/>
      <c r="BB147" s="53"/>
      <c r="BC147" s="111">
        <f t="shared" si="33"/>
        <v>14808.592762780008</v>
      </c>
      <c r="BD147" s="111">
        <f t="shared" si="34"/>
        <v>22212.889144170014</v>
      </c>
    </row>
    <row r="148" spans="1:56" ht="45.75" customHeight="1" x14ac:dyDescent="0.25">
      <c r="A148" s="53">
        <v>138</v>
      </c>
      <c r="B148" s="53"/>
      <c r="C148" s="53"/>
      <c r="D148" s="53" t="s">
        <v>135</v>
      </c>
      <c r="E148" s="53"/>
      <c r="F148" s="53"/>
      <c r="G148" s="53" t="s">
        <v>290</v>
      </c>
      <c r="H148" s="53" t="s">
        <v>291</v>
      </c>
      <c r="I148" s="85" t="s">
        <v>459</v>
      </c>
      <c r="J148" s="85" t="s">
        <v>684</v>
      </c>
      <c r="K148" s="85" t="s">
        <v>365</v>
      </c>
      <c r="L148" s="53" t="s">
        <v>216</v>
      </c>
      <c r="M148" s="53" t="s">
        <v>295</v>
      </c>
      <c r="N148" s="53"/>
      <c r="O148" s="85" t="s">
        <v>685</v>
      </c>
      <c r="P148" s="53">
        <v>1</v>
      </c>
      <c r="Q148" s="183">
        <v>7.5</v>
      </c>
      <c r="R148" s="84">
        <v>0.87050000000000005</v>
      </c>
      <c r="S148" s="53">
        <v>10</v>
      </c>
      <c r="T148" s="53"/>
      <c r="U148" s="53">
        <v>3</v>
      </c>
      <c r="V148" s="53">
        <v>480</v>
      </c>
      <c r="W148" s="53"/>
      <c r="X148" s="53"/>
      <c r="Y148" s="53"/>
      <c r="Z148" s="53"/>
      <c r="AA148" s="53"/>
      <c r="AB148" s="53"/>
      <c r="AC148" s="137" t="s">
        <v>124</v>
      </c>
      <c r="AD148" s="138" t="s">
        <v>118</v>
      </c>
      <c r="AE148" s="83">
        <v>8760</v>
      </c>
      <c r="AF148" s="139">
        <v>1</v>
      </c>
      <c r="AG148" s="139">
        <f t="shared" si="24"/>
        <v>0.82191780821917804</v>
      </c>
      <c r="AH148" s="139">
        <v>0.6</v>
      </c>
      <c r="AI148" s="139">
        <v>0.6</v>
      </c>
      <c r="AJ148" s="83">
        <f t="shared" si="25"/>
        <v>2880</v>
      </c>
      <c r="AK148" s="83">
        <f t="shared" si="26"/>
        <v>4320</v>
      </c>
      <c r="AL148" s="104">
        <f t="shared" si="27"/>
        <v>3.8564043653072941</v>
      </c>
      <c r="AM148" s="104">
        <f t="shared" si="28"/>
        <v>3.8564043653072941</v>
      </c>
      <c r="AN148" s="83">
        <f t="shared" si="29"/>
        <v>11106.444572085007</v>
      </c>
      <c r="AO148" s="83">
        <f t="shared" si="30"/>
        <v>16659.666858127512</v>
      </c>
      <c r="AP148" s="182">
        <f t="shared" si="31"/>
        <v>37.896743782194136</v>
      </c>
      <c r="AQ148" s="182">
        <f t="shared" si="32"/>
        <v>56.845115673291204</v>
      </c>
      <c r="AR148" s="85"/>
      <c r="AS148" s="85"/>
      <c r="AT148" s="53"/>
      <c r="AU148" s="53"/>
      <c r="AV148" s="53"/>
      <c r="AW148" s="53"/>
      <c r="AX148" s="53"/>
      <c r="AY148" s="53"/>
      <c r="AZ148" s="53"/>
      <c r="BA148" s="53"/>
      <c r="BB148" s="53"/>
      <c r="BC148" s="111">
        <f t="shared" si="33"/>
        <v>11106.444572085007</v>
      </c>
      <c r="BD148" s="111">
        <f t="shared" si="34"/>
        <v>16659.666858127512</v>
      </c>
    </row>
    <row r="149" spans="1:56" ht="55.5" customHeight="1" x14ac:dyDescent="0.25">
      <c r="A149" s="53">
        <v>139</v>
      </c>
      <c r="B149" s="53"/>
      <c r="C149" s="53"/>
      <c r="D149" s="53" t="s">
        <v>135</v>
      </c>
      <c r="E149" s="53"/>
      <c r="F149" s="53"/>
      <c r="G149" s="53" t="s">
        <v>290</v>
      </c>
      <c r="H149" s="53" t="s">
        <v>291</v>
      </c>
      <c r="I149" s="85" t="s">
        <v>459</v>
      </c>
      <c r="J149" s="85" t="s">
        <v>663</v>
      </c>
      <c r="K149" s="85" t="s">
        <v>294</v>
      </c>
      <c r="L149" s="53" t="s">
        <v>216</v>
      </c>
      <c r="M149" s="53" t="s">
        <v>295</v>
      </c>
      <c r="N149" s="53"/>
      <c r="O149" s="85" t="s">
        <v>135</v>
      </c>
      <c r="P149" s="53">
        <v>1</v>
      </c>
      <c r="Q149" s="183">
        <v>10</v>
      </c>
      <c r="R149" s="84">
        <v>0.87050000000000005</v>
      </c>
      <c r="S149" s="53">
        <v>14</v>
      </c>
      <c r="T149" s="53"/>
      <c r="U149" s="53">
        <v>3</v>
      </c>
      <c r="V149" s="53">
        <v>480</v>
      </c>
      <c r="W149" s="53"/>
      <c r="X149" s="53"/>
      <c r="Y149" s="53"/>
      <c r="Z149" s="53"/>
      <c r="AA149" s="53"/>
      <c r="AB149" s="53"/>
      <c r="AC149" s="137" t="s">
        <v>124</v>
      </c>
      <c r="AD149" s="138" t="s">
        <v>118</v>
      </c>
      <c r="AE149" s="83">
        <v>8760</v>
      </c>
      <c r="AF149" s="139">
        <v>1</v>
      </c>
      <c r="AG149" s="139">
        <f t="shared" si="24"/>
        <v>0.82191780821917804</v>
      </c>
      <c r="AH149" s="139">
        <v>0.6</v>
      </c>
      <c r="AI149" s="139">
        <v>0.6</v>
      </c>
      <c r="AJ149" s="83">
        <f t="shared" si="25"/>
        <v>2880</v>
      </c>
      <c r="AK149" s="83">
        <f t="shared" si="26"/>
        <v>4320</v>
      </c>
      <c r="AL149" s="104">
        <f t="shared" si="27"/>
        <v>5.1418724870763919</v>
      </c>
      <c r="AM149" s="104">
        <f t="shared" si="28"/>
        <v>5.1418724870763919</v>
      </c>
      <c r="AN149" s="83">
        <f t="shared" si="29"/>
        <v>14808.592762780008</v>
      </c>
      <c r="AO149" s="83">
        <f t="shared" si="30"/>
        <v>22212.889144170014</v>
      </c>
      <c r="AP149" s="182">
        <f t="shared" si="31"/>
        <v>50.528991709592177</v>
      </c>
      <c r="AQ149" s="182">
        <f t="shared" si="32"/>
        <v>75.793487564388272</v>
      </c>
      <c r="AR149" s="85"/>
      <c r="AS149" s="85"/>
      <c r="AT149" s="53"/>
      <c r="AU149" s="53"/>
      <c r="AV149" s="53"/>
      <c r="AW149" s="53"/>
      <c r="AX149" s="53"/>
      <c r="AY149" s="53"/>
      <c r="AZ149" s="53"/>
      <c r="BA149" s="53"/>
      <c r="BB149" s="53"/>
      <c r="BC149" s="111">
        <f t="shared" si="33"/>
        <v>14808.592762780008</v>
      </c>
      <c r="BD149" s="111">
        <f t="shared" si="34"/>
        <v>22212.889144170014</v>
      </c>
    </row>
    <row r="150" spans="1:56" ht="45.75" customHeight="1" x14ac:dyDescent="0.25">
      <c r="A150" s="53">
        <v>140</v>
      </c>
      <c r="B150" s="53"/>
      <c r="C150" s="53"/>
      <c r="D150" s="53" t="s">
        <v>135</v>
      </c>
      <c r="E150" s="53"/>
      <c r="F150" s="53"/>
      <c r="G150" s="53" t="s">
        <v>290</v>
      </c>
      <c r="H150" s="53" t="s">
        <v>291</v>
      </c>
      <c r="I150" s="85" t="s">
        <v>459</v>
      </c>
      <c r="J150" s="85" t="s">
        <v>663</v>
      </c>
      <c r="K150" s="85" t="s">
        <v>360</v>
      </c>
      <c r="L150" s="53" t="s">
        <v>216</v>
      </c>
      <c r="M150" s="53" t="s">
        <v>361</v>
      </c>
      <c r="N150" s="53"/>
      <c r="O150" s="85" t="s">
        <v>135</v>
      </c>
      <c r="P150" s="53">
        <v>1</v>
      </c>
      <c r="Q150" s="183">
        <v>1</v>
      </c>
      <c r="R150" s="84">
        <v>0.87050000000000005</v>
      </c>
      <c r="S150" s="53">
        <v>2.1</v>
      </c>
      <c r="T150" s="53"/>
      <c r="U150" s="53">
        <v>3</v>
      </c>
      <c r="V150" s="53">
        <v>480</v>
      </c>
      <c r="W150" s="53"/>
      <c r="X150" s="53"/>
      <c r="Y150" s="53"/>
      <c r="Z150" s="53"/>
      <c r="AA150" s="53"/>
      <c r="AB150" s="53"/>
      <c r="AC150" s="137" t="s">
        <v>124</v>
      </c>
      <c r="AD150" s="138" t="s">
        <v>118</v>
      </c>
      <c r="AE150" s="83">
        <v>8760</v>
      </c>
      <c r="AF150" s="139">
        <v>1</v>
      </c>
      <c r="AG150" s="139">
        <f t="shared" si="24"/>
        <v>0.82191780821917804</v>
      </c>
      <c r="AH150" s="139">
        <v>0.75</v>
      </c>
      <c r="AI150" s="139">
        <v>0.75</v>
      </c>
      <c r="AJ150" s="83">
        <f t="shared" si="25"/>
        <v>2880</v>
      </c>
      <c r="AK150" s="83">
        <f t="shared" si="26"/>
        <v>4320</v>
      </c>
      <c r="AL150" s="104">
        <f t="shared" si="27"/>
        <v>0.6427340608845491</v>
      </c>
      <c r="AM150" s="104">
        <f t="shared" si="28"/>
        <v>0.6427340608845491</v>
      </c>
      <c r="AN150" s="83">
        <f t="shared" si="29"/>
        <v>1851.0740953475015</v>
      </c>
      <c r="AO150" s="83">
        <f t="shared" si="30"/>
        <v>2776.6111430212522</v>
      </c>
      <c r="AP150" s="182">
        <f t="shared" si="31"/>
        <v>6.316123963699023</v>
      </c>
      <c r="AQ150" s="182">
        <f t="shared" si="32"/>
        <v>9.474185945548534</v>
      </c>
      <c r="AR150" s="85"/>
      <c r="AS150" s="85"/>
      <c r="AT150" s="53"/>
      <c r="AU150" s="53"/>
      <c r="AV150" s="53"/>
      <c r="AW150" s="53"/>
      <c r="AX150" s="53"/>
      <c r="AY150" s="53"/>
      <c r="AZ150" s="53"/>
      <c r="BA150" s="53"/>
      <c r="BB150" s="53"/>
      <c r="BC150" s="111">
        <f t="shared" si="33"/>
        <v>1851.0740953475015</v>
      </c>
      <c r="BD150" s="111">
        <f t="shared" si="34"/>
        <v>2776.6111430212522</v>
      </c>
    </row>
    <row r="151" spans="1:56" ht="46.5" customHeight="1" x14ac:dyDescent="0.25">
      <c r="A151" s="53">
        <v>141</v>
      </c>
      <c r="B151" s="53"/>
      <c r="C151" s="53"/>
      <c r="D151" s="53" t="s">
        <v>135</v>
      </c>
      <c r="E151" s="53"/>
      <c r="F151" s="53"/>
      <c r="G151" s="53" t="s">
        <v>290</v>
      </c>
      <c r="H151" s="53" t="s">
        <v>291</v>
      </c>
      <c r="I151" s="85" t="s">
        <v>459</v>
      </c>
      <c r="J151" s="85" t="s">
        <v>748</v>
      </c>
      <c r="K151" s="85" t="s">
        <v>393</v>
      </c>
      <c r="L151" s="53" t="s">
        <v>216</v>
      </c>
      <c r="M151" s="53" t="s">
        <v>295</v>
      </c>
      <c r="N151" s="53"/>
      <c r="O151" s="85" t="s">
        <v>135</v>
      </c>
      <c r="P151" s="53">
        <v>1</v>
      </c>
      <c r="Q151" s="183">
        <v>5</v>
      </c>
      <c r="R151" s="84">
        <v>0.87050000000000005</v>
      </c>
      <c r="S151" s="53">
        <v>7.6</v>
      </c>
      <c r="T151" s="53"/>
      <c r="U151" s="53">
        <v>3</v>
      </c>
      <c r="V151" s="53">
        <v>480</v>
      </c>
      <c r="W151" s="53"/>
      <c r="X151" s="53"/>
      <c r="Y151" s="53"/>
      <c r="Z151" s="53"/>
      <c r="AA151" s="53"/>
      <c r="AB151" s="53"/>
      <c r="AC151" s="137" t="s">
        <v>124</v>
      </c>
      <c r="AD151" s="138" t="s">
        <v>118</v>
      </c>
      <c r="AE151" s="83">
        <v>8760</v>
      </c>
      <c r="AF151" s="139">
        <v>1</v>
      </c>
      <c r="AG151" s="139">
        <f t="shared" si="24"/>
        <v>0.82191780821917804</v>
      </c>
      <c r="AH151" s="139">
        <v>0.6</v>
      </c>
      <c r="AI151" s="139">
        <v>0.6</v>
      </c>
      <c r="AJ151" s="83">
        <f t="shared" si="25"/>
        <v>2880</v>
      </c>
      <c r="AK151" s="83">
        <f t="shared" si="26"/>
        <v>4320</v>
      </c>
      <c r="AL151" s="104">
        <f t="shared" si="27"/>
        <v>2.5709362435381959</v>
      </c>
      <c r="AM151" s="104">
        <f t="shared" si="28"/>
        <v>2.5709362435381959</v>
      </c>
      <c r="AN151" s="83">
        <f t="shared" si="29"/>
        <v>7404.2963813900042</v>
      </c>
      <c r="AO151" s="83">
        <f t="shared" si="30"/>
        <v>11106.444572085007</v>
      </c>
      <c r="AP151" s="182">
        <f t="shared" si="31"/>
        <v>25.264495854796088</v>
      </c>
      <c r="AQ151" s="182">
        <f t="shared" si="32"/>
        <v>37.896743782194136</v>
      </c>
      <c r="AR151" s="85"/>
      <c r="AS151" s="85"/>
      <c r="AT151" s="53"/>
      <c r="AU151" s="53"/>
      <c r="AV151" s="53"/>
      <c r="AW151" s="53"/>
      <c r="AX151" s="53"/>
      <c r="AY151" s="53"/>
      <c r="AZ151" s="53"/>
      <c r="BA151" s="53"/>
      <c r="BB151" s="53"/>
      <c r="BC151" s="111">
        <f t="shared" si="33"/>
        <v>7404.2963813900042</v>
      </c>
      <c r="BD151" s="111">
        <f t="shared" si="34"/>
        <v>11106.444572085007</v>
      </c>
    </row>
    <row r="152" spans="1:56" ht="48.75" customHeight="1" x14ac:dyDescent="0.25">
      <c r="A152" s="53">
        <v>142</v>
      </c>
      <c r="B152" s="53"/>
      <c r="C152" s="53"/>
      <c r="D152" s="53" t="s">
        <v>135</v>
      </c>
      <c r="E152" s="53"/>
      <c r="F152" s="53"/>
      <c r="G152" s="53" t="s">
        <v>290</v>
      </c>
      <c r="H152" s="53" t="s">
        <v>291</v>
      </c>
      <c r="I152" s="85" t="s">
        <v>459</v>
      </c>
      <c r="J152" s="85" t="s">
        <v>627</v>
      </c>
      <c r="K152" s="85" t="s">
        <v>365</v>
      </c>
      <c r="L152" s="53" t="s">
        <v>216</v>
      </c>
      <c r="M152" s="53" t="s">
        <v>295</v>
      </c>
      <c r="N152" s="53"/>
      <c r="O152" s="85" t="s">
        <v>135</v>
      </c>
      <c r="P152" s="53">
        <v>1</v>
      </c>
      <c r="Q152" s="183">
        <v>10</v>
      </c>
      <c r="R152" s="84">
        <v>0.87050000000000005</v>
      </c>
      <c r="S152" s="53">
        <v>14</v>
      </c>
      <c r="T152" s="53"/>
      <c r="U152" s="53">
        <v>3</v>
      </c>
      <c r="V152" s="53">
        <v>480</v>
      </c>
      <c r="W152" s="53"/>
      <c r="X152" s="53"/>
      <c r="Y152" s="53"/>
      <c r="Z152" s="53"/>
      <c r="AA152" s="53"/>
      <c r="AB152" s="53"/>
      <c r="AC152" s="137" t="s">
        <v>124</v>
      </c>
      <c r="AD152" s="138" t="s">
        <v>118</v>
      </c>
      <c r="AE152" s="83">
        <v>8760</v>
      </c>
      <c r="AF152" s="139">
        <v>1</v>
      </c>
      <c r="AG152" s="139">
        <f t="shared" si="24"/>
        <v>0.82191780821917804</v>
      </c>
      <c r="AH152" s="139">
        <v>0.6</v>
      </c>
      <c r="AI152" s="139">
        <v>0.6</v>
      </c>
      <c r="AJ152" s="83">
        <f t="shared" si="25"/>
        <v>2880</v>
      </c>
      <c r="AK152" s="83">
        <f t="shared" si="26"/>
        <v>4320</v>
      </c>
      <c r="AL152" s="104">
        <f t="shared" si="27"/>
        <v>5.1418724870763919</v>
      </c>
      <c r="AM152" s="104">
        <f t="shared" si="28"/>
        <v>5.1418724870763919</v>
      </c>
      <c r="AN152" s="83">
        <f t="shared" si="29"/>
        <v>14808.592762780008</v>
      </c>
      <c r="AO152" s="83">
        <f t="shared" si="30"/>
        <v>22212.889144170014</v>
      </c>
      <c r="AP152" s="182">
        <f t="shared" si="31"/>
        <v>50.528991709592177</v>
      </c>
      <c r="AQ152" s="182">
        <f t="shared" si="32"/>
        <v>75.793487564388272</v>
      </c>
      <c r="AR152" s="85"/>
      <c r="AS152" s="85"/>
      <c r="AT152" s="53"/>
      <c r="AU152" s="53"/>
      <c r="AV152" s="53"/>
      <c r="AW152" s="53"/>
      <c r="AX152" s="53"/>
      <c r="AY152" s="53"/>
      <c r="AZ152" s="53"/>
      <c r="BA152" s="53"/>
      <c r="BB152" s="53"/>
      <c r="BC152" s="111">
        <f t="shared" si="33"/>
        <v>14808.592762780008</v>
      </c>
      <c r="BD152" s="111">
        <f t="shared" si="34"/>
        <v>22212.889144170014</v>
      </c>
    </row>
    <row r="153" spans="1:56" ht="36" customHeight="1" x14ac:dyDescent="0.25">
      <c r="A153" s="53">
        <v>143</v>
      </c>
      <c r="B153" s="53"/>
      <c r="C153" s="53"/>
      <c r="D153" s="53" t="s">
        <v>135</v>
      </c>
      <c r="E153" s="53"/>
      <c r="F153" s="53"/>
      <c r="G153" s="53" t="s">
        <v>290</v>
      </c>
      <c r="H153" s="53" t="s">
        <v>291</v>
      </c>
      <c r="I153" s="85" t="s">
        <v>463</v>
      </c>
      <c r="J153" s="85" t="s">
        <v>464</v>
      </c>
      <c r="K153" s="85" t="s">
        <v>294</v>
      </c>
      <c r="L153" s="53" t="s">
        <v>216</v>
      </c>
      <c r="M153" s="53" t="s">
        <v>295</v>
      </c>
      <c r="N153" s="53"/>
      <c r="O153" s="85" t="s">
        <v>135</v>
      </c>
      <c r="P153" s="53">
        <v>1</v>
      </c>
      <c r="Q153" s="183">
        <v>40</v>
      </c>
      <c r="R153" s="84">
        <v>0.89250000000000007</v>
      </c>
      <c r="S153" s="53">
        <v>49</v>
      </c>
      <c r="T153" s="53"/>
      <c r="U153" s="53">
        <v>3</v>
      </c>
      <c r="V153" s="53">
        <v>480</v>
      </c>
      <c r="W153" s="53"/>
      <c r="X153" s="53"/>
      <c r="Y153" s="53"/>
      <c r="Z153" s="53"/>
      <c r="AA153" s="53"/>
      <c r="AB153" s="53"/>
      <c r="AC153" s="137" t="s">
        <v>124</v>
      </c>
      <c r="AD153" s="138" t="s">
        <v>118</v>
      </c>
      <c r="AE153" s="83">
        <v>8760</v>
      </c>
      <c r="AF153" s="139">
        <v>1</v>
      </c>
      <c r="AG153" s="139">
        <f t="shared" si="24"/>
        <v>0.82191780821917804</v>
      </c>
      <c r="AH153" s="139">
        <v>0.6</v>
      </c>
      <c r="AI153" s="139">
        <v>0.6</v>
      </c>
      <c r="AJ153" s="83">
        <f t="shared" si="25"/>
        <v>2880</v>
      </c>
      <c r="AK153" s="83">
        <f t="shared" si="26"/>
        <v>4320</v>
      </c>
      <c r="AL153" s="104">
        <f t="shared" si="27"/>
        <v>20.060504201680669</v>
      </c>
      <c r="AM153" s="104">
        <f t="shared" si="28"/>
        <v>20.060504201680669</v>
      </c>
      <c r="AN153" s="83">
        <f t="shared" si="29"/>
        <v>57774.252100840327</v>
      </c>
      <c r="AO153" s="83">
        <f t="shared" si="30"/>
        <v>86661.378151260491</v>
      </c>
      <c r="AP153" s="182">
        <f t="shared" si="31"/>
        <v>197.13383656336131</v>
      </c>
      <c r="AQ153" s="182">
        <f t="shared" si="32"/>
        <v>295.70075484504201</v>
      </c>
      <c r="AR153" s="85"/>
      <c r="AS153" s="85"/>
      <c r="AT153" s="53"/>
      <c r="AU153" s="53"/>
      <c r="AV153" s="53"/>
      <c r="AW153" s="53"/>
      <c r="AX153" s="53"/>
      <c r="AY153" s="53"/>
      <c r="AZ153" s="53"/>
      <c r="BA153" s="53"/>
      <c r="BB153" s="53"/>
      <c r="BC153" s="111">
        <f t="shared" si="33"/>
        <v>57774.252100840327</v>
      </c>
      <c r="BD153" s="111">
        <f t="shared" si="34"/>
        <v>86661.378151260491</v>
      </c>
    </row>
    <row r="154" spans="1:56" ht="29.25" customHeight="1" x14ac:dyDescent="0.25">
      <c r="A154" s="53">
        <v>144</v>
      </c>
      <c r="B154" s="53"/>
      <c r="C154" s="53"/>
      <c r="D154" s="53" t="s">
        <v>135</v>
      </c>
      <c r="E154" s="53"/>
      <c r="F154" s="53"/>
      <c r="G154" s="53" t="s">
        <v>290</v>
      </c>
      <c r="H154" s="53" t="s">
        <v>291</v>
      </c>
      <c r="I154" s="85" t="s">
        <v>463</v>
      </c>
      <c r="J154" s="85" t="s">
        <v>753</v>
      </c>
      <c r="K154" s="85" t="s">
        <v>360</v>
      </c>
      <c r="L154" s="53" t="s">
        <v>216</v>
      </c>
      <c r="M154" s="53" t="s">
        <v>361</v>
      </c>
      <c r="N154" s="53"/>
      <c r="O154" s="85" t="s">
        <v>135</v>
      </c>
      <c r="P154" s="53">
        <v>1</v>
      </c>
      <c r="Q154" s="183">
        <v>3</v>
      </c>
      <c r="R154" s="84">
        <v>0.87050000000000005</v>
      </c>
      <c r="S154" s="53">
        <v>4.8</v>
      </c>
      <c r="T154" s="53"/>
      <c r="U154" s="53">
        <v>3</v>
      </c>
      <c r="V154" s="53">
        <v>480</v>
      </c>
      <c r="W154" s="53"/>
      <c r="X154" s="53"/>
      <c r="Y154" s="53"/>
      <c r="Z154" s="53"/>
      <c r="AA154" s="53"/>
      <c r="AB154" s="53"/>
      <c r="AC154" s="137" t="s">
        <v>124</v>
      </c>
      <c r="AD154" s="138" t="s">
        <v>118</v>
      </c>
      <c r="AE154" s="83">
        <v>8760</v>
      </c>
      <c r="AF154" s="139">
        <v>1</v>
      </c>
      <c r="AG154" s="139">
        <f t="shared" si="24"/>
        <v>0.82191780821917804</v>
      </c>
      <c r="AH154" s="139">
        <v>0.75</v>
      </c>
      <c r="AI154" s="139">
        <v>0.75</v>
      </c>
      <c r="AJ154" s="83">
        <f t="shared" si="25"/>
        <v>2880</v>
      </c>
      <c r="AK154" s="83">
        <f t="shared" si="26"/>
        <v>4320</v>
      </c>
      <c r="AL154" s="104">
        <f t="shared" si="27"/>
        <v>1.9282021826536473</v>
      </c>
      <c r="AM154" s="104">
        <f t="shared" si="28"/>
        <v>1.9282021826536473</v>
      </c>
      <c r="AN154" s="83">
        <f t="shared" si="29"/>
        <v>5553.2222860425045</v>
      </c>
      <c r="AO154" s="83">
        <f t="shared" si="30"/>
        <v>8329.8334290637558</v>
      </c>
      <c r="AP154" s="182">
        <f t="shared" si="31"/>
        <v>18.948371891097068</v>
      </c>
      <c r="AQ154" s="182">
        <f t="shared" si="32"/>
        <v>28.422557836645602</v>
      </c>
      <c r="AR154" s="85"/>
      <c r="AS154" s="85"/>
      <c r="AT154" s="53"/>
      <c r="AU154" s="53"/>
      <c r="AV154" s="53"/>
      <c r="AW154" s="53"/>
      <c r="AX154" s="53"/>
      <c r="AY154" s="53"/>
      <c r="AZ154" s="53"/>
      <c r="BA154" s="53"/>
      <c r="BB154" s="53"/>
      <c r="BC154" s="111">
        <f t="shared" si="33"/>
        <v>5553.2222860425045</v>
      </c>
      <c r="BD154" s="111">
        <f t="shared" si="34"/>
        <v>8329.8334290637558</v>
      </c>
    </row>
    <row r="155" spans="1:56" ht="55.5" customHeight="1" x14ac:dyDescent="0.25">
      <c r="A155" s="53">
        <v>145</v>
      </c>
      <c r="B155" s="53"/>
      <c r="C155" s="53"/>
      <c r="D155" s="53" t="s">
        <v>135</v>
      </c>
      <c r="E155" s="53"/>
      <c r="F155" s="53"/>
      <c r="G155" s="53" t="s">
        <v>290</v>
      </c>
      <c r="H155" s="53" t="s">
        <v>291</v>
      </c>
      <c r="I155" s="85" t="s">
        <v>463</v>
      </c>
      <c r="J155" s="85" t="s">
        <v>465</v>
      </c>
      <c r="K155" s="85" t="s">
        <v>294</v>
      </c>
      <c r="L155" s="53" t="s">
        <v>216</v>
      </c>
      <c r="M155" s="53" t="s">
        <v>295</v>
      </c>
      <c r="N155" s="53"/>
      <c r="O155" s="85" t="s">
        <v>135</v>
      </c>
      <c r="P155" s="53">
        <v>1</v>
      </c>
      <c r="Q155" s="183">
        <v>40</v>
      </c>
      <c r="R155" s="84">
        <v>0.89250000000000007</v>
      </c>
      <c r="S155" s="53">
        <v>49</v>
      </c>
      <c r="T155" s="53"/>
      <c r="U155" s="53">
        <v>3</v>
      </c>
      <c r="V155" s="53">
        <v>480</v>
      </c>
      <c r="W155" s="53"/>
      <c r="X155" s="53"/>
      <c r="Y155" s="53"/>
      <c r="Z155" s="53"/>
      <c r="AA155" s="53"/>
      <c r="AB155" s="53"/>
      <c r="AC155" s="137" t="s">
        <v>124</v>
      </c>
      <c r="AD155" s="138" t="s">
        <v>118</v>
      </c>
      <c r="AE155" s="83">
        <v>8760</v>
      </c>
      <c r="AF155" s="139">
        <v>1</v>
      </c>
      <c r="AG155" s="139">
        <f t="shared" si="24"/>
        <v>0.82191780821917804</v>
      </c>
      <c r="AH155" s="139">
        <v>0.6</v>
      </c>
      <c r="AI155" s="139">
        <v>0.6</v>
      </c>
      <c r="AJ155" s="83">
        <f t="shared" si="25"/>
        <v>2880</v>
      </c>
      <c r="AK155" s="83">
        <f t="shared" si="26"/>
        <v>4320</v>
      </c>
      <c r="AL155" s="104">
        <f t="shared" si="27"/>
        <v>20.060504201680669</v>
      </c>
      <c r="AM155" s="104">
        <f t="shared" si="28"/>
        <v>20.060504201680669</v>
      </c>
      <c r="AN155" s="83">
        <f t="shared" si="29"/>
        <v>57774.252100840327</v>
      </c>
      <c r="AO155" s="83">
        <f t="shared" si="30"/>
        <v>86661.378151260491</v>
      </c>
      <c r="AP155" s="182">
        <f t="shared" si="31"/>
        <v>197.13383656336131</v>
      </c>
      <c r="AQ155" s="182">
        <f t="shared" si="32"/>
        <v>295.70075484504201</v>
      </c>
      <c r="AR155" s="85"/>
      <c r="AS155" s="85"/>
      <c r="AT155" s="53"/>
      <c r="AU155" s="53"/>
      <c r="AV155" s="53"/>
      <c r="AW155" s="53"/>
      <c r="AX155" s="53"/>
      <c r="AY155" s="53"/>
      <c r="AZ155" s="53"/>
      <c r="BA155" s="53"/>
      <c r="BB155" s="53"/>
      <c r="BC155" s="111">
        <f t="shared" si="33"/>
        <v>57774.252100840327</v>
      </c>
      <c r="BD155" s="111">
        <f t="shared" si="34"/>
        <v>86661.378151260491</v>
      </c>
    </row>
    <row r="156" spans="1:56" ht="28.5" customHeight="1" x14ac:dyDescent="0.25">
      <c r="A156" s="53">
        <v>146</v>
      </c>
      <c r="B156" s="53"/>
      <c r="C156" s="53"/>
      <c r="D156" s="53" t="s">
        <v>135</v>
      </c>
      <c r="E156" s="53"/>
      <c r="F156" s="53"/>
      <c r="G156" s="53" t="s">
        <v>290</v>
      </c>
      <c r="H156" s="53" t="s">
        <v>291</v>
      </c>
      <c r="I156" s="85" t="s">
        <v>463</v>
      </c>
      <c r="J156" s="85" t="s">
        <v>754</v>
      </c>
      <c r="K156" s="85" t="s">
        <v>360</v>
      </c>
      <c r="L156" s="53" t="s">
        <v>216</v>
      </c>
      <c r="M156" s="53" t="s">
        <v>361</v>
      </c>
      <c r="N156" s="53"/>
      <c r="O156" s="85" t="s">
        <v>135</v>
      </c>
      <c r="P156" s="53">
        <v>1</v>
      </c>
      <c r="Q156" s="183">
        <v>3</v>
      </c>
      <c r="R156" s="84">
        <v>0.87050000000000005</v>
      </c>
      <c r="S156" s="53">
        <v>4.8</v>
      </c>
      <c r="T156" s="53"/>
      <c r="U156" s="53">
        <v>3</v>
      </c>
      <c r="V156" s="53">
        <v>480</v>
      </c>
      <c r="W156" s="53"/>
      <c r="X156" s="53"/>
      <c r="Y156" s="53"/>
      <c r="Z156" s="53"/>
      <c r="AA156" s="53"/>
      <c r="AB156" s="53"/>
      <c r="AC156" s="137" t="s">
        <v>124</v>
      </c>
      <c r="AD156" s="138" t="s">
        <v>118</v>
      </c>
      <c r="AE156" s="83">
        <v>8760</v>
      </c>
      <c r="AF156" s="139">
        <v>1</v>
      </c>
      <c r="AG156" s="139">
        <f t="shared" si="24"/>
        <v>0.82191780821917804</v>
      </c>
      <c r="AH156" s="139">
        <v>0.75</v>
      </c>
      <c r="AI156" s="139">
        <v>0.75</v>
      </c>
      <c r="AJ156" s="83">
        <f t="shared" si="25"/>
        <v>2880</v>
      </c>
      <c r="AK156" s="83">
        <f t="shared" si="26"/>
        <v>4320</v>
      </c>
      <c r="AL156" s="104">
        <f t="shared" si="27"/>
        <v>1.9282021826536473</v>
      </c>
      <c r="AM156" s="104">
        <f t="shared" si="28"/>
        <v>1.9282021826536473</v>
      </c>
      <c r="AN156" s="83">
        <f t="shared" si="29"/>
        <v>5553.2222860425045</v>
      </c>
      <c r="AO156" s="83">
        <f t="shared" si="30"/>
        <v>8329.8334290637558</v>
      </c>
      <c r="AP156" s="182">
        <f t="shared" si="31"/>
        <v>18.948371891097068</v>
      </c>
      <c r="AQ156" s="182">
        <f t="shared" si="32"/>
        <v>28.422557836645602</v>
      </c>
      <c r="AR156" s="85"/>
      <c r="AS156" s="85"/>
      <c r="AT156" s="53"/>
      <c r="AU156" s="53"/>
      <c r="AV156" s="53"/>
      <c r="AW156" s="53"/>
      <c r="AX156" s="53"/>
      <c r="AY156" s="53"/>
      <c r="AZ156" s="53"/>
      <c r="BA156" s="53"/>
      <c r="BB156" s="53"/>
      <c r="BC156" s="111">
        <f t="shared" si="33"/>
        <v>5553.2222860425045</v>
      </c>
      <c r="BD156" s="111">
        <f t="shared" si="34"/>
        <v>8329.8334290637558</v>
      </c>
    </row>
    <row r="157" spans="1:56" ht="35.25" customHeight="1" x14ac:dyDescent="0.25">
      <c r="A157" s="53">
        <v>147</v>
      </c>
      <c r="B157" s="53"/>
      <c r="C157" s="53"/>
      <c r="D157" s="53" t="s">
        <v>135</v>
      </c>
      <c r="E157" s="53"/>
      <c r="F157" s="53"/>
      <c r="G157" s="53" t="s">
        <v>290</v>
      </c>
      <c r="H157" s="53" t="s">
        <v>291</v>
      </c>
      <c r="I157" s="85" t="s">
        <v>463</v>
      </c>
      <c r="J157" s="85" t="s">
        <v>570</v>
      </c>
      <c r="K157" s="85" t="s">
        <v>365</v>
      </c>
      <c r="L157" s="53" t="s">
        <v>216</v>
      </c>
      <c r="M157" s="53" t="s">
        <v>295</v>
      </c>
      <c r="N157" s="53"/>
      <c r="O157" s="85" t="s">
        <v>571</v>
      </c>
      <c r="P157" s="53">
        <v>1</v>
      </c>
      <c r="Q157" s="183">
        <v>15</v>
      </c>
      <c r="R157" s="84">
        <v>0.87850000000000006</v>
      </c>
      <c r="S157" s="53">
        <v>21</v>
      </c>
      <c r="T157" s="53"/>
      <c r="U157" s="53">
        <v>3</v>
      </c>
      <c r="V157" s="53">
        <v>480</v>
      </c>
      <c r="W157" s="53"/>
      <c r="X157" s="53"/>
      <c r="Y157" s="53"/>
      <c r="Z157" s="53"/>
      <c r="AA157" s="53"/>
      <c r="AB157" s="53"/>
      <c r="AC157" s="137" t="s">
        <v>124</v>
      </c>
      <c r="AD157" s="138" t="s">
        <v>118</v>
      </c>
      <c r="AE157" s="83">
        <v>8760</v>
      </c>
      <c r="AF157" s="139">
        <v>1</v>
      </c>
      <c r="AG157" s="139">
        <f t="shared" si="24"/>
        <v>0.82191780821917804</v>
      </c>
      <c r="AH157" s="139">
        <v>0.6</v>
      </c>
      <c r="AI157" s="139">
        <v>0.6</v>
      </c>
      <c r="AJ157" s="83">
        <f t="shared" si="25"/>
        <v>2880</v>
      </c>
      <c r="AK157" s="83">
        <f t="shared" si="26"/>
        <v>4320</v>
      </c>
      <c r="AL157" s="104">
        <f t="shared" si="27"/>
        <v>7.642572566875355</v>
      </c>
      <c r="AM157" s="104">
        <f t="shared" si="28"/>
        <v>7.642572566875355</v>
      </c>
      <c r="AN157" s="83">
        <f t="shared" si="29"/>
        <v>22010.608992601021</v>
      </c>
      <c r="AO157" s="83">
        <f t="shared" si="30"/>
        <v>33015.913488901533</v>
      </c>
      <c r="AP157" s="182">
        <f t="shared" si="31"/>
        <v>75.103279368013645</v>
      </c>
      <c r="AQ157" s="182">
        <f t="shared" si="32"/>
        <v>112.65491905202047</v>
      </c>
      <c r="AR157" s="85"/>
      <c r="AS157" s="85"/>
      <c r="AT157" s="53"/>
      <c r="AU157" s="53"/>
      <c r="AV157" s="53"/>
      <c r="AW157" s="53"/>
      <c r="AX157" s="53"/>
      <c r="AY157" s="53"/>
      <c r="AZ157" s="53"/>
      <c r="BA157" s="53"/>
      <c r="BB157" s="53"/>
      <c r="BC157" s="111">
        <f t="shared" si="33"/>
        <v>22010.608992601021</v>
      </c>
      <c r="BD157" s="111">
        <f t="shared" si="34"/>
        <v>33015.913488901533</v>
      </c>
    </row>
    <row r="158" spans="1:56" ht="29.25" customHeight="1" x14ac:dyDescent="0.25">
      <c r="A158" s="53">
        <v>148</v>
      </c>
      <c r="B158" s="53"/>
      <c r="C158" s="53"/>
      <c r="D158" s="53" t="s">
        <v>135</v>
      </c>
      <c r="E158" s="53"/>
      <c r="F158" s="53"/>
      <c r="G158" s="53" t="s">
        <v>290</v>
      </c>
      <c r="H158" s="53" t="s">
        <v>291</v>
      </c>
      <c r="I158" s="85" t="s">
        <v>463</v>
      </c>
      <c r="J158" s="85" t="s">
        <v>736</v>
      </c>
      <c r="K158" s="85" t="s">
        <v>365</v>
      </c>
      <c r="L158" s="53" t="s">
        <v>216</v>
      </c>
      <c r="M158" s="53" t="s">
        <v>295</v>
      </c>
      <c r="N158" s="53"/>
      <c r="O158" s="85" t="s">
        <v>737</v>
      </c>
      <c r="P158" s="53">
        <v>1</v>
      </c>
      <c r="Q158" s="183">
        <v>5</v>
      </c>
      <c r="R158" s="84">
        <v>0.87050000000000005</v>
      </c>
      <c r="S158" s="53">
        <v>7.6</v>
      </c>
      <c r="T158" s="53"/>
      <c r="U158" s="53">
        <v>3</v>
      </c>
      <c r="V158" s="53">
        <v>480</v>
      </c>
      <c r="W158" s="53"/>
      <c r="X158" s="53"/>
      <c r="Y158" s="53"/>
      <c r="Z158" s="53"/>
      <c r="AA158" s="53"/>
      <c r="AB158" s="53"/>
      <c r="AC158" s="137" t="s">
        <v>124</v>
      </c>
      <c r="AD158" s="138" t="s">
        <v>118</v>
      </c>
      <c r="AE158" s="83">
        <v>8760</v>
      </c>
      <c r="AF158" s="139">
        <v>1</v>
      </c>
      <c r="AG158" s="139">
        <f t="shared" si="24"/>
        <v>0.82191780821917804</v>
      </c>
      <c r="AH158" s="139">
        <v>0.6</v>
      </c>
      <c r="AI158" s="139">
        <v>0.6</v>
      </c>
      <c r="AJ158" s="83">
        <f t="shared" si="25"/>
        <v>2880</v>
      </c>
      <c r="AK158" s="83">
        <f t="shared" si="26"/>
        <v>4320</v>
      </c>
      <c r="AL158" s="104">
        <f t="shared" si="27"/>
        <v>2.5709362435381959</v>
      </c>
      <c r="AM158" s="104">
        <f t="shared" si="28"/>
        <v>2.5709362435381959</v>
      </c>
      <c r="AN158" s="83">
        <f t="shared" si="29"/>
        <v>7404.2963813900042</v>
      </c>
      <c r="AO158" s="83">
        <f t="shared" si="30"/>
        <v>11106.444572085007</v>
      </c>
      <c r="AP158" s="182">
        <f t="shared" si="31"/>
        <v>25.264495854796088</v>
      </c>
      <c r="AQ158" s="182">
        <f t="shared" si="32"/>
        <v>37.896743782194136</v>
      </c>
      <c r="AR158" s="85"/>
      <c r="AS158" s="85"/>
      <c r="AT158" s="53"/>
      <c r="AU158" s="53"/>
      <c r="AV158" s="53"/>
      <c r="AW158" s="53"/>
      <c r="AX158" s="53"/>
      <c r="AY158" s="53"/>
      <c r="AZ158" s="53"/>
      <c r="BA158" s="53"/>
      <c r="BB158" s="53"/>
      <c r="BC158" s="111">
        <f t="shared" si="33"/>
        <v>7404.2963813900042</v>
      </c>
      <c r="BD158" s="111">
        <f t="shared" si="34"/>
        <v>11106.444572085007</v>
      </c>
    </row>
    <row r="159" spans="1:56" ht="27" customHeight="1" x14ac:dyDescent="0.25">
      <c r="A159" s="53">
        <v>149</v>
      </c>
      <c r="B159" s="53"/>
      <c r="C159" s="53"/>
      <c r="D159" s="53" t="s">
        <v>135</v>
      </c>
      <c r="E159" s="53"/>
      <c r="F159" s="53"/>
      <c r="G159" s="53" t="s">
        <v>290</v>
      </c>
      <c r="H159" s="53" t="s">
        <v>291</v>
      </c>
      <c r="I159" s="85" t="s">
        <v>463</v>
      </c>
      <c r="J159" s="85" t="s">
        <v>738</v>
      </c>
      <c r="K159" s="85" t="s">
        <v>365</v>
      </c>
      <c r="L159" s="53" t="s">
        <v>216</v>
      </c>
      <c r="M159" s="53" t="s">
        <v>295</v>
      </c>
      <c r="N159" s="53"/>
      <c r="O159" s="85" t="s">
        <v>739</v>
      </c>
      <c r="P159" s="53">
        <v>1</v>
      </c>
      <c r="Q159" s="183">
        <v>5</v>
      </c>
      <c r="R159" s="84">
        <v>0.87050000000000005</v>
      </c>
      <c r="S159" s="53">
        <v>7.6</v>
      </c>
      <c r="T159" s="53"/>
      <c r="U159" s="53">
        <v>3</v>
      </c>
      <c r="V159" s="53">
        <v>480</v>
      </c>
      <c r="W159" s="53"/>
      <c r="X159" s="53"/>
      <c r="Y159" s="53"/>
      <c r="Z159" s="53"/>
      <c r="AA159" s="53"/>
      <c r="AB159" s="53"/>
      <c r="AC159" s="137" t="s">
        <v>124</v>
      </c>
      <c r="AD159" s="138" t="s">
        <v>118</v>
      </c>
      <c r="AE159" s="83">
        <v>8760</v>
      </c>
      <c r="AF159" s="139">
        <v>1</v>
      </c>
      <c r="AG159" s="139">
        <f t="shared" si="24"/>
        <v>0.82191780821917804</v>
      </c>
      <c r="AH159" s="139">
        <v>0.6</v>
      </c>
      <c r="AI159" s="139">
        <v>0.6</v>
      </c>
      <c r="AJ159" s="83">
        <f t="shared" si="25"/>
        <v>2880</v>
      </c>
      <c r="AK159" s="83">
        <f t="shared" si="26"/>
        <v>4320</v>
      </c>
      <c r="AL159" s="104">
        <f t="shared" si="27"/>
        <v>2.5709362435381959</v>
      </c>
      <c r="AM159" s="104">
        <f t="shared" si="28"/>
        <v>2.5709362435381959</v>
      </c>
      <c r="AN159" s="83">
        <f t="shared" si="29"/>
        <v>7404.2963813900042</v>
      </c>
      <c r="AO159" s="83">
        <f t="shared" si="30"/>
        <v>11106.444572085007</v>
      </c>
      <c r="AP159" s="182">
        <f t="shared" si="31"/>
        <v>25.264495854796088</v>
      </c>
      <c r="AQ159" s="182">
        <f t="shared" si="32"/>
        <v>37.896743782194136</v>
      </c>
      <c r="AR159" s="85"/>
      <c r="AS159" s="85"/>
      <c r="AT159" s="53"/>
      <c r="AU159" s="53"/>
      <c r="AV159" s="53"/>
      <c r="AW159" s="53"/>
      <c r="AX159" s="53"/>
      <c r="AY159" s="53"/>
      <c r="AZ159" s="53"/>
      <c r="BA159" s="53"/>
      <c r="BB159" s="53"/>
      <c r="BC159" s="111">
        <f t="shared" si="33"/>
        <v>7404.2963813900042</v>
      </c>
      <c r="BD159" s="111">
        <f t="shared" si="34"/>
        <v>11106.444572085007</v>
      </c>
    </row>
    <row r="160" spans="1:56" ht="30.75" customHeight="1" x14ac:dyDescent="0.25">
      <c r="A160" s="53">
        <v>150</v>
      </c>
      <c r="B160" s="53"/>
      <c r="C160" s="53"/>
      <c r="D160" s="53" t="s">
        <v>135</v>
      </c>
      <c r="E160" s="53"/>
      <c r="F160" s="53"/>
      <c r="G160" s="53" t="s">
        <v>290</v>
      </c>
      <c r="H160" s="53" t="s">
        <v>291</v>
      </c>
      <c r="I160" s="85" t="s">
        <v>463</v>
      </c>
      <c r="J160" s="85" t="s">
        <v>572</v>
      </c>
      <c r="K160" s="85" t="s">
        <v>365</v>
      </c>
      <c r="L160" s="53" t="s">
        <v>216</v>
      </c>
      <c r="M160" s="53" t="s">
        <v>295</v>
      </c>
      <c r="N160" s="53"/>
      <c r="O160" s="85" t="s">
        <v>573</v>
      </c>
      <c r="P160" s="53">
        <v>1</v>
      </c>
      <c r="Q160" s="183">
        <v>15</v>
      </c>
      <c r="R160" s="84">
        <v>0.87850000000000006</v>
      </c>
      <c r="S160" s="53">
        <v>21</v>
      </c>
      <c r="T160" s="53"/>
      <c r="U160" s="53">
        <v>3</v>
      </c>
      <c r="V160" s="53">
        <v>480</v>
      </c>
      <c r="W160" s="53"/>
      <c r="X160" s="53"/>
      <c r="Y160" s="53"/>
      <c r="Z160" s="53"/>
      <c r="AA160" s="53"/>
      <c r="AB160" s="53"/>
      <c r="AC160" s="137" t="s">
        <v>124</v>
      </c>
      <c r="AD160" s="138" t="s">
        <v>118</v>
      </c>
      <c r="AE160" s="83">
        <v>8760</v>
      </c>
      <c r="AF160" s="139">
        <v>1</v>
      </c>
      <c r="AG160" s="139">
        <f t="shared" si="24"/>
        <v>0.82191780821917804</v>
      </c>
      <c r="AH160" s="139">
        <v>0.6</v>
      </c>
      <c r="AI160" s="139">
        <v>0.6</v>
      </c>
      <c r="AJ160" s="83">
        <f t="shared" si="25"/>
        <v>2880</v>
      </c>
      <c r="AK160" s="83">
        <f t="shared" si="26"/>
        <v>4320</v>
      </c>
      <c r="AL160" s="104">
        <f t="shared" si="27"/>
        <v>7.642572566875355</v>
      </c>
      <c r="AM160" s="104">
        <f t="shared" si="28"/>
        <v>7.642572566875355</v>
      </c>
      <c r="AN160" s="83">
        <f t="shared" si="29"/>
        <v>22010.608992601021</v>
      </c>
      <c r="AO160" s="83">
        <f t="shared" si="30"/>
        <v>33015.913488901533</v>
      </c>
      <c r="AP160" s="182">
        <f t="shared" si="31"/>
        <v>75.103279368013645</v>
      </c>
      <c r="AQ160" s="182">
        <f t="shared" si="32"/>
        <v>112.65491905202047</v>
      </c>
      <c r="AR160" s="85"/>
      <c r="AS160" s="85"/>
      <c r="AT160" s="53"/>
      <c r="AU160" s="53"/>
      <c r="AV160" s="53"/>
      <c r="AW160" s="53"/>
      <c r="AX160" s="53"/>
      <c r="AY160" s="53"/>
      <c r="AZ160" s="53"/>
      <c r="BA160" s="53"/>
      <c r="BB160" s="53"/>
      <c r="BC160" s="111">
        <f t="shared" si="33"/>
        <v>22010.608992601021</v>
      </c>
      <c r="BD160" s="111">
        <f t="shared" si="34"/>
        <v>33015.913488901533</v>
      </c>
    </row>
    <row r="161" spans="1:56" ht="21" customHeight="1" x14ac:dyDescent="0.25">
      <c r="A161" s="53">
        <v>151</v>
      </c>
      <c r="B161" s="53"/>
      <c r="C161" s="53"/>
      <c r="D161" s="53" t="s">
        <v>135</v>
      </c>
      <c r="E161" s="53"/>
      <c r="F161" s="53"/>
      <c r="G161" s="53" t="s">
        <v>290</v>
      </c>
      <c r="H161" s="53" t="s">
        <v>291</v>
      </c>
      <c r="I161" s="85" t="s">
        <v>463</v>
      </c>
      <c r="J161" s="85" t="s">
        <v>628</v>
      </c>
      <c r="K161" s="85" t="s">
        <v>365</v>
      </c>
      <c r="L161" s="53" t="s">
        <v>216</v>
      </c>
      <c r="M161" s="53" t="s">
        <v>295</v>
      </c>
      <c r="N161" s="53"/>
      <c r="O161" s="85" t="s">
        <v>629</v>
      </c>
      <c r="P161" s="53">
        <v>1</v>
      </c>
      <c r="Q161" s="183">
        <v>10</v>
      </c>
      <c r="R161" s="84">
        <v>0.87050000000000005</v>
      </c>
      <c r="S161" s="53">
        <v>14</v>
      </c>
      <c r="T161" s="53"/>
      <c r="U161" s="53">
        <v>3</v>
      </c>
      <c r="V161" s="53">
        <v>480</v>
      </c>
      <c r="W161" s="53"/>
      <c r="X161" s="53"/>
      <c r="Y161" s="53"/>
      <c r="Z161" s="53"/>
      <c r="AA161" s="53"/>
      <c r="AB161" s="53"/>
      <c r="AC161" s="137" t="s">
        <v>124</v>
      </c>
      <c r="AD161" s="138" t="s">
        <v>118</v>
      </c>
      <c r="AE161" s="83">
        <v>8760</v>
      </c>
      <c r="AF161" s="139">
        <v>1</v>
      </c>
      <c r="AG161" s="139">
        <f t="shared" si="24"/>
        <v>0.82191780821917804</v>
      </c>
      <c r="AH161" s="139">
        <v>0.6</v>
      </c>
      <c r="AI161" s="139">
        <v>0.6</v>
      </c>
      <c r="AJ161" s="83">
        <f t="shared" si="25"/>
        <v>2880</v>
      </c>
      <c r="AK161" s="83">
        <f t="shared" si="26"/>
        <v>4320</v>
      </c>
      <c r="AL161" s="104">
        <f t="shared" si="27"/>
        <v>5.1418724870763919</v>
      </c>
      <c r="AM161" s="104">
        <f t="shared" si="28"/>
        <v>5.1418724870763919</v>
      </c>
      <c r="AN161" s="83">
        <f t="shared" si="29"/>
        <v>14808.592762780008</v>
      </c>
      <c r="AO161" s="83">
        <f t="shared" si="30"/>
        <v>22212.889144170014</v>
      </c>
      <c r="AP161" s="182">
        <f t="shared" si="31"/>
        <v>50.528991709592177</v>
      </c>
      <c r="AQ161" s="182">
        <f t="shared" si="32"/>
        <v>75.793487564388272</v>
      </c>
      <c r="AR161" s="85"/>
      <c r="AS161" s="85"/>
      <c r="AT161" s="53"/>
      <c r="AU161" s="53"/>
      <c r="AV161" s="53"/>
      <c r="AW161" s="53"/>
      <c r="AX161" s="53"/>
      <c r="AY161" s="53"/>
      <c r="AZ161" s="53"/>
      <c r="BA161" s="53"/>
      <c r="BB161" s="53"/>
      <c r="BC161" s="111">
        <f t="shared" si="33"/>
        <v>14808.592762780008</v>
      </c>
      <c r="BD161" s="111">
        <f t="shared" si="34"/>
        <v>22212.889144170014</v>
      </c>
    </row>
    <row r="162" spans="1:56" ht="21" customHeight="1" x14ac:dyDescent="0.25">
      <c r="A162" s="53">
        <v>152</v>
      </c>
      <c r="B162" s="53"/>
      <c r="C162" s="53"/>
      <c r="D162" s="53" t="s">
        <v>135</v>
      </c>
      <c r="E162" s="53"/>
      <c r="F162" s="53"/>
      <c r="G162" s="53" t="s">
        <v>290</v>
      </c>
      <c r="H162" s="53" t="s">
        <v>291</v>
      </c>
      <c r="I162" s="85" t="s">
        <v>463</v>
      </c>
      <c r="J162" s="85" t="s">
        <v>793</v>
      </c>
      <c r="K162" s="85" t="s">
        <v>360</v>
      </c>
      <c r="L162" s="53" t="s">
        <v>216</v>
      </c>
      <c r="M162" s="53" t="s">
        <v>361</v>
      </c>
      <c r="N162" s="53"/>
      <c r="O162" s="85" t="s">
        <v>888</v>
      </c>
      <c r="P162" s="53">
        <v>1</v>
      </c>
      <c r="Q162" s="183">
        <v>1</v>
      </c>
      <c r="R162" s="84">
        <v>0.87050000000000005</v>
      </c>
      <c r="S162" s="53">
        <v>2.1</v>
      </c>
      <c r="T162" s="53"/>
      <c r="U162" s="53">
        <v>3</v>
      </c>
      <c r="V162" s="53">
        <v>480</v>
      </c>
      <c r="W162" s="53"/>
      <c r="X162" s="53"/>
      <c r="Y162" s="53"/>
      <c r="Z162" s="53"/>
      <c r="AA162" s="53"/>
      <c r="AB162" s="53"/>
      <c r="AC162" s="137" t="s">
        <v>124</v>
      </c>
      <c r="AD162" s="138" t="s">
        <v>118</v>
      </c>
      <c r="AE162" s="83">
        <v>8760</v>
      </c>
      <c r="AF162" s="139">
        <v>1</v>
      </c>
      <c r="AG162" s="139">
        <f t="shared" si="24"/>
        <v>0.82191780821917804</v>
      </c>
      <c r="AH162" s="139">
        <v>0.75</v>
      </c>
      <c r="AI162" s="139">
        <v>0.75</v>
      </c>
      <c r="AJ162" s="83">
        <f t="shared" si="25"/>
        <v>2880</v>
      </c>
      <c r="AK162" s="83">
        <f t="shared" si="26"/>
        <v>4320</v>
      </c>
      <c r="AL162" s="104">
        <f t="shared" si="27"/>
        <v>0.6427340608845491</v>
      </c>
      <c r="AM162" s="104">
        <f t="shared" si="28"/>
        <v>0.6427340608845491</v>
      </c>
      <c r="AN162" s="83">
        <f t="shared" si="29"/>
        <v>1851.0740953475015</v>
      </c>
      <c r="AO162" s="83">
        <f t="shared" si="30"/>
        <v>2776.6111430212522</v>
      </c>
      <c r="AP162" s="182">
        <f t="shared" si="31"/>
        <v>6.316123963699023</v>
      </c>
      <c r="AQ162" s="182">
        <f t="shared" si="32"/>
        <v>9.474185945548534</v>
      </c>
      <c r="AR162" s="85"/>
      <c r="AS162" s="85"/>
      <c r="AT162" s="53"/>
      <c r="AU162" s="53"/>
      <c r="AV162" s="53"/>
      <c r="AW162" s="53"/>
      <c r="AX162" s="53"/>
      <c r="AY162" s="53"/>
      <c r="AZ162" s="53"/>
      <c r="BA162" s="53"/>
      <c r="BB162" s="53"/>
      <c r="BC162" s="111">
        <f t="shared" si="33"/>
        <v>1851.0740953475015</v>
      </c>
      <c r="BD162" s="111">
        <f t="shared" si="34"/>
        <v>2776.6111430212522</v>
      </c>
    </row>
    <row r="163" spans="1:56" ht="21" customHeight="1" x14ac:dyDescent="0.25">
      <c r="A163" s="53">
        <v>153</v>
      </c>
      <c r="B163" s="53"/>
      <c r="C163" s="53"/>
      <c r="D163" s="53" t="s">
        <v>135</v>
      </c>
      <c r="E163" s="53"/>
      <c r="F163" s="53"/>
      <c r="G163" s="53" t="s">
        <v>290</v>
      </c>
      <c r="H163" s="53" t="s">
        <v>291</v>
      </c>
      <c r="I163" s="85" t="s">
        <v>463</v>
      </c>
      <c r="J163" s="85" t="s">
        <v>793</v>
      </c>
      <c r="K163" s="85" t="s">
        <v>894</v>
      </c>
      <c r="L163" s="53" t="s">
        <v>216</v>
      </c>
      <c r="M163" s="53" t="s">
        <v>295</v>
      </c>
      <c r="N163" s="53"/>
      <c r="O163" s="85" t="s">
        <v>895</v>
      </c>
      <c r="P163" s="53">
        <v>1</v>
      </c>
      <c r="Q163" s="183">
        <v>1</v>
      </c>
      <c r="R163" s="84">
        <v>0.87050000000000005</v>
      </c>
      <c r="S163" s="53">
        <v>2.1</v>
      </c>
      <c r="T163" s="53"/>
      <c r="U163" s="53">
        <v>3</v>
      </c>
      <c r="V163" s="53">
        <v>480</v>
      </c>
      <c r="W163" s="53"/>
      <c r="X163" s="53"/>
      <c r="Y163" s="53"/>
      <c r="Z163" s="53"/>
      <c r="AA163" s="53"/>
      <c r="AB163" s="53"/>
      <c r="AC163" s="137" t="s">
        <v>124</v>
      </c>
      <c r="AD163" s="138" t="s">
        <v>118</v>
      </c>
      <c r="AE163" s="83">
        <v>8760</v>
      </c>
      <c r="AF163" s="139">
        <v>1</v>
      </c>
      <c r="AG163" s="139">
        <f t="shared" si="24"/>
        <v>0.82191780821917804</v>
      </c>
      <c r="AH163" s="139">
        <v>0.6</v>
      </c>
      <c r="AI163" s="139">
        <v>0.6</v>
      </c>
      <c r="AJ163" s="83">
        <f t="shared" si="25"/>
        <v>2880</v>
      </c>
      <c r="AK163" s="83">
        <f t="shared" si="26"/>
        <v>4320</v>
      </c>
      <c r="AL163" s="104">
        <f t="shared" si="27"/>
        <v>0.51418724870763921</v>
      </c>
      <c r="AM163" s="104">
        <f t="shared" si="28"/>
        <v>0.51418724870763921</v>
      </c>
      <c r="AN163" s="83">
        <f t="shared" si="29"/>
        <v>1480.8592762780008</v>
      </c>
      <c r="AO163" s="83">
        <f t="shared" si="30"/>
        <v>2221.2889144170013</v>
      </c>
      <c r="AP163" s="182">
        <f t="shared" si="31"/>
        <v>5.0528991709592175</v>
      </c>
      <c r="AQ163" s="182">
        <f t="shared" si="32"/>
        <v>7.5793487564388258</v>
      </c>
      <c r="AR163" s="85"/>
      <c r="AS163" s="85"/>
      <c r="AT163" s="53"/>
      <c r="AU163" s="53"/>
      <c r="AV163" s="53"/>
      <c r="AW163" s="53"/>
      <c r="AX163" s="53"/>
      <c r="AY163" s="53"/>
      <c r="AZ163" s="53"/>
      <c r="BA163" s="53"/>
      <c r="BB163" s="53"/>
      <c r="BC163" s="111">
        <f t="shared" si="33"/>
        <v>1480.8592762780008</v>
      </c>
      <c r="BD163" s="111">
        <f t="shared" si="34"/>
        <v>2221.2889144170013</v>
      </c>
    </row>
    <row r="164" spans="1:56" ht="21" customHeight="1" x14ac:dyDescent="0.25">
      <c r="A164" s="53">
        <v>154</v>
      </c>
      <c r="B164" s="53"/>
      <c r="C164" s="53"/>
      <c r="D164" s="53" t="s">
        <v>135</v>
      </c>
      <c r="E164" s="53"/>
      <c r="F164" s="53"/>
      <c r="G164" s="53" t="s">
        <v>290</v>
      </c>
      <c r="H164" s="53" t="s">
        <v>291</v>
      </c>
      <c r="I164" s="85" t="s">
        <v>463</v>
      </c>
      <c r="J164" s="85" t="s">
        <v>793</v>
      </c>
      <c r="K164" s="85" t="s">
        <v>823</v>
      </c>
      <c r="L164" s="53" t="s">
        <v>216</v>
      </c>
      <c r="M164" s="53" t="s">
        <v>295</v>
      </c>
      <c r="N164" s="53"/>
      <c r="O164" s="85" t="s">
        <v>824</v>
      </c>
      <c r="P164" s="53">
        <v>1</v>
      </c>
      <c r="Q164" s="183">
        <v>3</v>
      </c>
      <c r="R164" s="84">
        <v>0.87050000000000005</v>
      </c>
      <c r="S164" s="53">
        <v>4.5</v>
      </c>
      <c r="T164" s="53"/>
      <c r="U164" s="53">
        <v>3</v>
      </c>
      <c r="V164" s="53">
        <v>480</v>
      </c>
      <c r="W164" s="53"/>
      <c r="X164" s="53"/>
      <c r="Y164" s="53"/>
      <c r="Z164" s="53"/>
      <c r="AA164" s="53"/>
      <c r="AB164" s="53"/>
      <c r="AC164" s="137" t="s">
        <v>124</v>
      </c>
      <c r="AD164" s="138" t="s">
        <v>118</v>
      </c>
      <c r="AE164" s="83">
        <v>8760</v>
      </c>
      <c r="AF164" s="139">
        <v>1</v>
      </c>
      <c r="AG164" s="139">
        <f t="shared" si="24"/>
        <v>0.82191780821917804</v>
      </c>
      <c r="AH164" s="139">
        <v>0.6</v>
      </c>
      <c r="AI164" s="139">
        <v>0.6</v>
      </c>
      <c r="AJ164" s="83">
        <f t="shared" si="25"/>
        <v>2880</v>
      </c>
      <c r="AK164" s="83">
        <f t="shared" si="26"/>
        <v>4320</v>
      </c>
      <c r="AL164" s="104">
        <f t="shared" si="27"/>
        <v>1.5425617461229177</v>
      </c>
      <c r="AM164" s="104">
        <f t="shared" si="28"/>
        <v>1.5425617461229177</v>
      </c>
      <c r="AN164" s="83">
        <f t="shared" si="29"/>
        <v>4442.5778288340034</v>
      </c>
      <c r="AO164" s="83">
        <f t="shared" si="30"/>
        <v>6663.8667432510047</v>
      </c>
      <c r="AP164" s="182">
        <f t="shared" si="31"/>
        <v>15.158697512877657</v>
      </c>
      <c r="AQ164" s="182">
        <f t="shared" si="32"/>
        <v>22.738046269316484</v>
      </c>
      <c r="AR164" s="85"/>
      <c r="AS164" s="85"/>
      <c r="AT164" s="53"/>
      <c r="AU164" s="53"/>
      <c r="AV164" s="53"/>
      <c r="AW164" s="53"/>
      <c r="AX164" s="53"/>
      <c r="AY164" s="53"/>
      <c r="AZ164" s="53"/>
      <c r="BA164" s="53"/>
      <c r="BB164" s="53"/>
      <c r="BC164" s="111">
        <f t="shared" si="33"/>
        <v>4442.5778288340034</v>
      </c>
      <c r="BD164" s="111">
        <f t="shared" si="34"/>
        <v>6663.8667432510047</v>
      </c>
    </row>
    <row r="165" spans="1:56" ht="21" customHeight="1" x14ac:dyDescent="0.25">
      <c r="A165" s="53">
        <v>155</v>
      </c>
      <c r="B165" s="53"/>
      <c r="C165" s="53"/>
      <c r="D165" s="53" t="s">
        <v>135</v>
      </c>
      <c r="E165" s="53"/>
      <c r="F165" s="53"/>
      <c r="G165" s="53" t="s">
        <v>290</v>
      </c>
      <c r="H165" s="53" t="s">
        <v>291</v>
      </c>
      <c r="I165" s="85" t="s">
        <v>463</v>
      </c>
      <c r="J165" s="85" t="s">
        <v>793</v>
      </c>
      <c r="K165" s="85" t="s">
        <v>821</v>
      </c>
      <c r="L165" s="53" t="s">
        <v>216</v>
      </c>
      <c r="M165" s="53" t="s">
        <v>295</v>
      </c>
      <c r="N165" s="53"/>
      <c r="O165" s="85" t="s">
        <v>822</v>
      </c>
      <c r="P165" s="53">
        <v>1</v>
      </c>
      <c r="Q165" s="183">
        <v>3</v>
      </c>
      <c r="R165" s="84">
        <v>0.87050000000000005</v>
      </c>
      <c r="S165" s="53">
        <v>4.5</v>
      </c>
      <c r="T165" s="53"/>
      <c r="U165" s="53">
        <v>3</v>
      </c>
      <c r="V165" s="53">
        <v>480</v>
      </c>
      <c r="W165" s="53"/>
      <c r="X165" s="53"/>
      <c r="Y165" s="53"/>
      <c r="Z165" s="53"/>
      <c r="AA165" s="53"/>
      <c r="AB165" s="53"/>
      <c r="AC165" s="137" t="s">
        <v>124</v>
      </c>
      <c r="AD165" s="138" t="s">
        <v>118</v>
      </c>
      <c r="AE165" s="83">
        <v>8760</v>
      </c>
      <c r="AF165" s="139">
        <v>1</v>
      </c>
      <c r="AG165" s="139">
        <f t="shared" si="24"/>
        <v>0.82191780821917804</v>
      </c>
      <c r="AH165" s="139">
        <v>0.6</v>
      </c>
      <c r="AI165" s="139">
        <v>0.6</v>
      </c>
      <c r="AJ165" s="83">
        <f t="shared" si="25"/>
        <v>2880</v>
      </c>
      <c r="AK165" s="83">
        <f t="shared" si="26"/>
        <v>4320</v>
      </c>
      <c r="AL165" s="104">
        <f t="shared" si="27"/>
        <v>1.5425617461229177</v>
      </c>
      <c r="AM165" s="104">
        <f t="shared" si="28"/>
        <v>1.5425617461229177</v>
      </c>
      <c r="AN165" s="83">
        <f t="shared" si="29"/>
        <v>4442.5778288340034</v>
      </c>
      <c r="AO165" s="83">
        <f t="shared" si="30"/>
        <v>6663.8667432510047</v>
      </c>
      <c r="AP165" s="182">
        <f t="shared" si="31"/>
        <v>15.158697512877657</v>
      </c>
      <c r="AQ165" s="182">
        <f t="shared" si="32"/>
        <v>22.738046269316484</v>
      </c>
      <c r="AR165" s="85"/>
      <c r="AS165" s="85"/>
      <c r="AT165" s="53"/>
      <c r="AU165" s="53"/>
      <c r="AV165" s="53"/>
      <c r="AW165" s="53"/>
      <c r="AX165" s="53"/>
      <c r="AY165" s="53"/>
      <c r="AZ165" s="53"/>
      <c r="BA165" s="53"/>
      <c r="BB165" s="53"/>
      <c r="BC165" s="111">
        <f t="shared" si="33"/>
        <v>4442.5778288340034</v>
      </c>
      <c r="BD165" s="111">
        <f t="shared" si="34"/>
        <v>6663.8667432510047</v>
      </c>
    </row>
    <row r="166" spans="1:56" ht="21" customHeight="1" x14ac:dyDescent="0.25">
      <c r="A166" s="53">
        <v>156</v>
      </c>
      <c r="B166" s="53"/>
      <c r="C166" s="53"/>
      <c r="D166" s="53" t="s">
        <v>135</v>
      </c>
      <c r="E166" s="53"/>
      <c r="F166" s="53"/>
      <c r="G166" s="53" t="s">
        <v>290</v>
      </c>
      <c r="H166" s="53" t="s">
        <v>291</v>
      </c>
      <c r="I166" s="85" t="s">
        <v>463</v>
      </c>
      <c r="J166" s="85" t="s">
        <v>793</v>
      </c>
      <c r="K166" s="85" t="s">
        <v>365</v>
      </c>
      <c r="L166" s="53" t="s">
        <v>216</v>
      </c>
      <c r="M166" s="53" t="s">
        <v>295</v>
      </c>
      <c r="N166" s="53"/>
      <c r="O166" s="85" t="s">
        <v>794</v>
      </c>
      <c r="P166" s="53">
        <v>1</v>
      </c>
      <c r="Q166" s="183">
        <v>3</v>
      </c>
      <c r="R166" s="84">
        <v>0.87050000000000005</v>
      </c>
      <c r="S166" s="53">
        <v>4.5</v>
      </c>
      <c r="T166" s="53"/>
      <c r="U166" s="53">
        <v>3</v>
      </c>
      <c r="V166" s="53">
        <v>480</v>
      </c>
      <c r="W166" s="53"/>
      <c r="X166" s="53"/>
      <c r="Y166" s="53"/>
      <c r="Z166" s="53"/>
      <c r="AA166" s="53"/>
      <c r="AB166" s="53"/>
      <c r="AC166" s="137" t="s">
        <v>124</v>
      </c>
      <c r="AD166" s="138" t="s">
        <v>118</v>
      </c>
      <c r="AE166" s="83">
        <v>8760</v>
      </c>
      <c r="AF166" s="139">
        <v>1</v>
      </c>
      <c r="AG166" s="139">
        <f t="shared" si="24"/>
        <v>0.82191780821917804</v>
      </c>
      <c r="AH166" s="139">
        <v>0.6</v>
      </c>
      <c r="AI166" s="139">
        <v>0.6</v>
      </c>
      <c r="AJ166" s="83">
        <f t="shared" si="25"/>
        <v>2880</v>
      </c>
      <c r="AK166" s="83">
        <f t="shared" si="26"/>
        <v>4320</v>
      </c>
      <c r="AL166" s="104">
        <f t="shared" si="27"/>
        <v>1.5425617461229177</v>
      </c>
      <c r="AM166" s="104">
        <f t="shared" si="28"/>
        <v>1.5425617461229177</v>
      </c>
      <c r="AN166" s="83">
        <f t="shared" si="29"/>
        <v>4442.5778288340034</v>
      </c>
      <c r="AO166" s="83">
        <f t="shared" si="30"/>
        <v>6663.8667432510047</v>
      </c>
      <c r="AP166" s="182">
        <f t="shared" si="31"/>
        <v>15.158697512877657</v>
      </c>
      <c r="AQ166" s="182">
        <f t="shared" si="32"/>
        <v>22.738046269316484</v>
      </c>
      <c r="AR166" s="85"/>
      <c r="AS166" s="85"/>
      <c r="AT166" s="53"/>
      <c r="AU166" s="53"/>
      <c r="AV166" s="53"/>
      <c r="AW166" s="53"/>
      <c r="AX166" s="53"/>
      <c r="AY166" s="53"/>
      <c r="AZ166" s="53"/>
      <c r="BA166" s="53"/>
      <c r="BB166" s="53"/>
      <c r="BC166" s="111">
        <f t="shared" si="33"/>
        <v>4442.5778288340034</v>
      </c>
      <c r="BD166" s="111">
        <f t="shared" si="34"/>
        <v>6663.8667432510047</v>
      </c>
    </row>
    <row r="167" spans="1:56" ht="21" customHeight="1" x14ac:dyDescent="0.25">
      <c r="A167" s="53">
        <v>157</v>
      </c>
      <c r="B167" s="53"/>
      <c r="C167" s="53"/>
      <c r="D167" s="53" t="s">
        <v>135</v>
      </c>
      <c r="E167" s="53"/>
      <c r="F167" s="53"/>
      <c r="G167" s="53" t="s">
        <v>290</v>
      </c>
      <c r="H167" s="53" t="s">
        <v>291</v>
      </c>
      <c r="I167" s="85" t="s">
        <v>463</v>
      </c>
      <c r="J167" s="85" t="s">
        <v>819</v>
      </c>
      <c r="K167" s="85" t="s">
        <v>360</v>
      </c>
      <c r="L167" s="53" t="s">
        <v>216</v>
      </c>
      <c r="M167" s="53" t="s">
        <v>361</v>
      </c>
      <c r="N167" s="53"/>
      <c r="O167" s="85" t="s">
        <v>889</v>
      </c>
      <c r="P167" s="53">
        <v>1</v>
      </c>
      <c r="Q167" s="183">
        <v>1</v>
      </c>
      <c r="R167" s="84">
        <v>0.87050000000000005</v>
      </c>
      <c r="S167" s="53">
        <v>2.1</v>
      </c>
      <c r="T167" s="53"/>
      <c r="U167" s="53">
        <v>3</v>
      </c>
      <c r="V167" s="53">
        <v>480</v>
      </c>
      <c r="W167" s="53"/>
      <c r="X167" s="53"/>
      <c r="Y167" s="53"/>
      <c r="Z167" s="53"/>
      <c r="AA167" s="53"/>
      <c r="AB167" s="53"/>
      <c r="AC167" s="137" t="s">
        <v>124</v>
      </c>
      <c r="AD167" s="138" t="s">
        <v>118</v>
      </c>
      <c r="AE167" s="83">
        <v>8760</v>
      </c>
      <c r="AF167" s="139">
        <v>1</v>
      </c>
      <c r="AG167" s="139">
        <f t="shared" si="24"/>
        <v>0.82191780821917804</v>
      </c>
      <c r="AH167" s="139">
        <v>0.75</v>
      </c>
      <c r="AI167" s="139">
        <v>0.75</v>
      </c>
      <c r="AJ167" s="83">
        <f t="shared" si="25"/>
        <v>2880</v>
      </c>
      <c r="AK167" s="83">
        <f t="shared" si="26"/>
        <v>4320</v>
      </c>
      <c r="AL167" s="104">
        <f t="shared" si="27"/>
        <v>0.6427340608845491</v>
      </c>
      <c r="AM167" s="104">
        <f t="shared" si="28"/>
        <v>0.6427340608845491</v>
      </c>
      <c r="AN167" s="83">
        <f t="shared" si="29"/>
        <v>1851.0740953475015</v>
      </c>
      <c r="AO167" s="83">
        <f t="shared" si="30"/>
        <v>2776.6111430212522</v>
      </c>
      <c r="AP167" s="182">
        <f t="shared" si="31"/>
        <v>6.316123963699023</v>
      </c>
      <c r="AQ167" s="182">
        <f t="shared" si="32"/>
        <v>9.474185945548534</v>
      </c>
      <c r="AR167" s="85"/>
      <c r="AS167" s="85"/>
      <c r="AT167" s="53"/>
      <c r="AU167" s="53"/>
      <c r="AV167" s="53"/>
      <c r="AW167" s="53"/>
      <c r="AX167" s="53"/>
      <c r="AY167" s="53"/>
      <c r="AZ167" s="53"/>
      <c r="BA167" s="53"/>
      <c r="BB167" s="53"/>
      <c r="BC167" s="111">
        <f t="shared" si="33"/>
        <v>1851.0740953475015</v>
      </c>
      <c r="BD167" s="111">
        <f t="shared" si="34"/>
        <v>2776.6111430212522</v>
      </c>
    </row>
    <row r="168" spans="1:56" ht="21" customHeight="1" x14ac:dyDescent="0.25">
      <c r="A168" s="53">
        <v>158</v>
      </c>
      <c r="B168" s="53"/>
      <c r="C168" s="53"/>
      <c r="D168" s="53" t="s">
        <v>135</v>
      </c>
      <c r="E168" s="53"/>
      <c r="F168" s="53"/>
      <c r="G168" s="53" t="s">
        <v>290</v>
      </c>
      <c r="H168" s="53" t="s">
        <v>291</v>
      </c>
      <c r="I168" s="85" t="s">
        <v>463</v>
      </c>
      <c r="J168" s="85" t="s">
        <v>819</v>
      </c>
      <c r="K168" s="85" t="s">
        <v>294</v>
      </c>
      <c r="L168" s="53" t="s">
        <v>216</v>
      </c>
      <c r="M168" s="53" t="s">
        <v>295</v>
      </c>
      <c r="N168" s="53"/>
      <c r="O168" s="85" t="s">
        <v>820</v>
      </c>
      <c r="P168" s="53">
        <v>1</v>
      </c>
      <c r="Q168" s="183">
        <v>3</v>
      </c>
      <c r="R168" s="84">
        <v>0.87050000000000005</v>
      </c>
      <c r="S168" s="53">
        <v>4.5</v>
      </c>
      <c r="T168" s="53"/>
      <c r="U168" s="53">
        <v>3</v>
      </c>
      <c r="V168" s="53">
        <v>480</v>
      </c>
      <c r="W168" s="53"/>
      <c r="X168" s="53"/>
      <c r="Y168" s="53"/>
      <c r="Z168" s="53"/>
      <c r="AA168" s="53"/>
      <c r="AB168" s="53"/>
      <c r="AC168" s="137" t="s">
        <v>124</v>
      </c>
      <c r="AD168" s="138" t="s">
        <v>118</v>
      </c>
      <c r="AE168" s="83">
        <v>8760</v>
      </c>
      <c r="AF168" s="139">
        <v>1</v>
      </c>
      <c r="AG168" s="139">
        <f t="shared" si="24"/>
        <v>0.82191780821917804</v>
      </c>
      <c r="AH168" s="139">
        <v>0.6</v>
      </c>
      <c r="AI168" s="139">
        <v>0.6</v>
      </c>
      <c r="AJ168" s="83">
        <f t="shared" si="25"/>
        <v>2880</v>
      </c>
      <c r="AK168" s="83">
        <f t="shared" si="26"/>
        <v>4320</v>
      </c>
      <c r="AL168" s="104">
        <f t="shared" si="27"/>
        <v>1.5425617461229177</v>
      </c>
      <c r="AM168" s="104">
        <f t="shared" si="28"/>
        <v>1.5425617461229177</v>
      </c>
      <c r="AN168" s="83">
        <f t="shared" si="29"/>
        <v>4442.5778288340034</v>
      </c>
      <c r="AO168" s="83">
        <f t="shared" si="30"/>
        <v>6663.8667432510047</v>
      </c>
      <c r="AP168" s="182">
        <f t="shared" si="31"/>
        <v>15.158697512877657</v>
      </c>
      <c r="AQ168" s="182">
        <f t="shared" si="32"/>
        <v>22.738046269316484</v>
      </c>
      <c r="AR168" s="85"/>
      <c r="AS168" s="85"/>
      <c r="AT168" s="53"/>
      <c r="AU168" s="53"/>
      <c r="AV168" s="53"/>
      <c r="AW168" s="53"/>
      <c r="AX168" s="53"/>
      <c r="AY168" s="53"/>
      <c r="AZ168" s="53"/>
      <c r="BA168" s="53"/>
      <c r="BB168" s="53"/>
      <c r="BC168" s="111">
        <f t="shared" si="33"/>
        <v>4442.5778288340034</v>
      </c>
      <c r="BD168" s="111">
        <f t="shared" si="34"/>
        <v>6663.8667432510047</v>
      </c>
    </row>
    <row r="169" spans="1:56" ht="21" customHeight="1" x14ac:dyDescent="0.25">
      <c r="A169" s="53">
        <v>159</v>
      </c>
      <c r="B169" s="53"/>
      <c r="C169" s="53"/>
      <c r="D169" s="53" t="s">
        <v>135</v>
      </c>
      <c r="E169" s="53"/>
      <c r="F169" s="53"/>
      <c r="G169" s="53" t="s">
        <v>211</v>
      </c>
      <c r="H169" s="53" t="s">
        <v>849</v>
      </c>
      <c r="I169" s="85" t="s">
        <v>850</v>
      </c>
      <c r="J169" s="85" t="s">
        <v>851</v>
      </c>
      <c r="K169" s="85" t="s">
        <v>852</v>
      </c>
      <c r="L169" s="53" t="s">
        <v>216</v>
      </c>
      <c r="M169" s="53" t="s">
        <v>252</v>
      </c>
      <c r="N169" s="53"/>
      <c r="O169" s="85" t="s">
        <v>135</v>
      </c>
      <c r="P169" s="53">
        <v>1</v>
      </c>
      <c r="Q169" s="183">
        <v>2</v>
      </c>
      <c r="R169" s="84">
        <v>0.87050000000000005</v>
      </c>
      <c r="S169" s="53">
        <v>1.5</v>
      </c>
      <c r="T169" s="53"/>
      <c r="U169" s="53">
        <v>3</v>
      </c>
      <c r="V169" s="53">
        <v>480</v>
      </c>
      <c r="W169" s="53"/>
      <c r="X169" s="53"/>
      <c r="Y169" s="53"/>
      <c r="Z169" s="53"/>
      <c r="AA169" s="53"/>
      <c r="AB169" s="53"/>
      <c r="AC169" s="137" t="s">
        <v>110</v>
      </c>
      <c r="AD169" s="138" t="s">
        <v>118</v>
      </c>
      <c r="AE169" s="83">
        <v>8760</v>
      </c>
      <c r="AF169" s="139">
        <v>1</v>
      </c>
      <c r="AG169" s="139">
        <f t="shared" si="24"/>
        <v>0.82191780821917804</v>
      </c>
      <c r="AH169" s="139">
        <v>0.6</v>
      </c>
      <c r="AI169" s="139">
        <v>0.6</v>
      </c>
      <c r="AJ169" s="83">
        <f t="shared" si="25"/>
        <v>2880</v>
      </c>
      <c r="AK169" s="83">
        <f t="shared" si="26"/>
        <v>4320</v>
      </c>
      <c r="AL169" s="104">
        <f t="shared" si="27"/>
        <v>1.0283744974152784</v>
      </c>
      <c r="AM169" s="104">
        <f t="shared" si="28"/>
        <v>1.0283744974152784</v>
      </c>
      <c r="AN169" s="83">
        <f t="shared" si="29"/>
        <v>2961.7185525560017</v>
      </c>
      <c r="AO169" s="83">
        <f t="shared" si="30"/>
        <v>4442.5778288340025</v>
      </c>
      <c r="AP169" s="182">
        <f t="shared" si="31"/>
        <v>10.105798341918435</v>
      </c>
      <c r="AQ169" s="182">
        <f t="shared" si="32"/>
        <v>15.158697512877652</v>
      </c>
      <c r="AR169" s="85"/>
      <c r="AS169" s="85"/>
      <c r="AT169" s="53"/>
      <c r="AU169" s="53"/>
      <c r="AV169" s="53"/>
      <c r="AW169" s="53"/>
      <c r="AX169" s="53"/>
      <c r="AY169" s="53"/>
      <c r="AZ169" s="53"/>
      <c r="BA169" s="53"/>
      <c r="BB169" s="53"/>
      <c r="BC169" s="111">
        <f t="shared" si="33"/>
        <v>2961.7185525560017</v>
      </c>
      <c r="BD169" s="111">
        <f t="shared" si="34"/>
        <v>4442.5778288340025</v>
      </c>
    </row>
    <row r="170" spans="1:56" ht="15.75" x14ac:dyDescent="0.25">
      <c r="A170" s="53">
        <v>160</v>
      </c>
      <c r="B170" s="53"/>
      <c r="C170" s="53"/>
      <c r="D170" s="53" t="s">
        <v>135</v>
      </c>
      <c r="E170" s="53"/>
      <c r="F170" s="53"/>
      <c r="G170" s="53" t="s">
        <v>211</v>
      </c>
      <c r="H170" s="53" t="s">
        <v>849</v>
      </c>
      <c r="I170" s="85" t="s">
        <v>850</v>
      </c>
      <c r="J170" s="85" t="s">
        <v>853</v>
      </c>
      <c r="K170" s="85" t="s">
        <v>852</v>
      </c>
      <c r="L170" s="53" t="s">
        <v>216</v>
      </c>
      <c r="M170" s="53" t="s">
        <v>252</v>
      </c>
      <c r="N170" s="53"/>
      <c r="O170" s="85" t="s">
        <v>135</v>
      </c>
      <c r="P170" s="53">
        <v>1</v>
      </c>
      <c r="Q170" s="183">
        <v>2</v>
      </c>
      <c r="R170" s="84">
        <v>0.87050000000000005</v>
      </c>
      <c r="S170" s="53">
        <v>1.5</v>
      </c>
      <c r="T170" s="53"/>
      <c r="U170" s="53">
        <v>3</v>
      </c>
      <c r="V170" s="53">
        <v>480</v>
      </c>
      <c r="W170" s="53"/>
      <c r="X170" s="53"/>
      <c r="Y170" s="53"/>
      <c r="Z170" s="53"/>
      <c r="AA170" s="53"/>
      <c r="AB170" s="53"/>
      <c r="AC170" s="137" t="s">
        <v>110</v>
      </c>
      <c r="AD170" s="138" t="s">
        <v>118</v>
      </c>
      <c r="AE170" s="83">
        <v>8760</v>
      </c>
      <c r="AF170" s="139">
        <v>1</v>
      </c>
      <c r="AG170" s="139">
        <f t="shared" si="24"/>
        <v>0.82191780821917804</v>
      </c>
      <c r="AH170" s="139">
        <v>0.6</v>
      </c>
      <c r="AI170" s="139">
        <v>0.6</v>
      </c>
      <c r="AJ170" s="83">
        <f t="shared" si="25"/>
        <v>2880</v>
      </c>
      <c r="AK170" s="83">
        <f t="shared" si="26"/>
        <v>4320</v>
      </c>
      <c r="AL170" s="104">
        <f t="shared" si="27"/>
        <v>1.0283744974152784</v>
      </c>
      <c r="AM170" s="104">
        <f t="shared" si="28"/>
        <v>1.0283744974152784</v>
      </c>
      <c r="AN170" s="83">
        <f t="shared" si="29"/>
        <v>2961.7185525560017</v>
      </c>
      <c r="AO170" s="83">
        <f t="shared" si="30"/>
        <v>4442.5778288340025</v>
      </c>
      <c r="AP170" s="182">
        <f t="shared" si="31"/>
        <v>10.105798341918435</v>
      </c>
      <c r="AQ170" s="182">
        <f t="shared" si="32"/>
        <v>15.158697512877652</v>
      </c>
      <c r="AR170" s="85"/>
      <c r="AS170" s="85"/>
      <c r="AT170" s="53"/>
      <c r="AU170" s="53"/>
      <c r="AV170" s="107"/>
      <c r="AW170" s="53"/>
      <c r="AX170" s="53"/>
      <c r="AY170" s="53"/>
      <c r="AZ170" s="53"/>
      <c r="BA170" s="53"/>
      <c r="BB170" s="53"/>
      <c r="BC170" s="111">
        <f t="shared" si="33"/>
        <v>2961.7185525560017</v>
      </c>
      <c r="BD170" s="111">
        <f t="shared" si="34"/>
        <v>4442.5778288340025</v>
      </c>
    </row>
    <row r="171" spans="1:56" ht="15.75" x14ac:dyDescent="0.25">
      <c r="A171" s="53">
        <v>161</v>
      </c>
      <c r="B171" s="53"/>
      <c r="C171" s="53"/>
      <c r="D171" s="53" t="s">
        <v>135</v>
      </c>
      <c r="E171" s="53"/>
      <c r="F171" s="53"/>
      <c r="G171" s="53" t="s">
        <v>211</v>
      </c>
      <c r="H171" s="53" t="s">
        <v>849</v>
      </c>
      <c r="I171" s="85" t="s">
        <v>850</v>
      </c>
      <c r="J171" s="85" t="s">
        <v>854</v>
      </c>
      <c r="K171" s="85" t="s">
        <v>852</v>
      </c>
      <c r="L171" s="53" t="s">
        <v>216</v>
      </c>
      <c r="M171" s="53" t="s">
        <v>252</v>
      </c>
      <c r="N171" s="53"/>
      <c r="O171" s="85" t="s">
        <v>135</v>
      </c>
      <c r="P171" s="53">
        <v>1</v>
      </c>
      <c r="Q171" s="183">
        <v>2</v>
      </c>
      <c r="R171" s="84">
        <v>0.87050000000000005</v>
      </c>
      <c r="S171" s="53">
        <v>1.5</v>
      </c>
      <c r="T171" s="53"/>
      <c r="U171" s="53">
        <v>3</v>
      </c>
      <c r="V171" s="53">
        <v>480</v>
      </c>
      <c r="W171" s="53"/>
      <c r="X171" s="53"/>
      <c r="Y171" s="53"/>
      <c r="Z171" s="53"/>
      <c r="AA171" s="53"/>
      <c r="AB171" s="53"/>
      <c r="AC171" s="137" t="s">
        <v>110</v>
      </c>
      <c r="AD171" s="138" t="s">
        <v>118</v>
      </c>
      <c r="AE171" s="83">
        <v>8760</v>
      </c>
      <c r="AF171" s="139">
        <v>1</v>
      </c>
      <c r="AG171" s="139">
        <f t="shared" si="24"/>
        <v>0.82191780821917804</v>
      </c>
      <c r="AH171" s="139">
        <v>0.6</v>
      </c>
      <c r="AI171" s="139">
        <v>0.6</v>
      </c>
      <c r="AJ171" s="83">
        <f t="shared" si="25"/>
        <v>2880</v>
      </c>
      <c r="AK171" s="83">
        <f t="shared" si="26"/>
        <v>4320</v>
      </c>
      <c r="AL171" s="104">
        <f t="shared" si="27"/>
        <v>1.0283744974152784</v>
      </c>
      <c r="AM171" s="104">
        <f t="shared" si="28"/>
        <v>1.0283744974152784</v>
      </c>
      <c r="AN171" s="83">
        <f t="shared" si="29"/>
        <v>2961.7185525560017</v>
      </c>
      <c r="AO171" s="83">
        <f t="shared" si="30"/>
        <v>4442.5778288340025</v>
      </c>
      <c r="AP171" s="182">
        <f t="shared" si="31"/>
        <v>10.105798341918435</v>
      </c>
      <c r="AQ171" s="182">
        <f t="shared" si="32"/>
        <v>15.158697512877652</v>
      </c>
      <c r="AR171" s="85"/>
      <c r="AS171" s="85"/>
      <c r="AT171" s="53"/>
      <c r="AU171" s="53"/>
      <c r="AV171" s="107"/>
      <c r="AW171" s="53"/>
      <c r="AX171" s="53"/>
      <c r="AY171" s="53"/>
      <c r="AZ171" s="53"/>
      <c r="BA171" s="53"/>
      <c r="BB171" s="53"/>
      <c r="BC171" s="111">
        <f t="shared" si="33"/>
        <v>2961.7185525560017</v>
      </c>
      <c r="BD171" s="111">
        <f t="shared" si="34"/>
        <v>4442.5778288340025</v>
      </c>
    </row>
    <row r="172" spans="1:56" ht="15.75" x14ac:dyDescent="0.25">
      <c r="A172" s="53">
        <v>162</v>
      </c>
      <c r="B172" s="53"/>
      <c r="C172" s="53"/>
      <c r="D172" s="53" t="s">
        <v>135</v>
      </c>
      <c r="E172" s="53"/>
      <c r="F172" s="53"/>
      <c r="G172" s="53" t="s">
        <v>211</v>
      </c>
      <c r="H172" s="53" t="s">
        <v>849</v>
      </c>
      <c r="I172" s="85" t="s">
        <v>850</v>
      </c>
      <c r="J172" s="85" t="s">
        <v>855</v>
      </c>
      <c r="K172" s="85" t="s">
        <v>852</v>
      </c>
      <c r="L172" s="53" t="s">
        <v>216</v>
      </c>
      <c r="M172" s="53" t="s">
        <v>252</v>
      </c>
      <c r="N172" s="53"/>
      <c r="O172" s="85" t="s">
        <v>135</v>
      </c>
      <c r="P172" s="53">
        <v>1</v>
      </c>
      <c r="Q172" s="183">
        <v>2</v>
      </c>
      <c r="R172" s="84">
        <v>0.87050000000000005</v>
      </c>
      <c r="S172" s="53">
        <v>1.5</v>
      </c>
      <c r="T172" s="53"/>
      <c r="U172" s="53">
        <v>3</v>
      </c>
      <c r="V172" s="53">
        <v>480</v>
      </c>
      <c r="W172" s="53"/>
      <c r="X172" s="53"/>
      <c r="Y172" s="53"/>
      <c r="Z172" s="53"/>
      <c r="AA172" s="53"/>
      <c r="AB172" s="53"/>
      <c r="AC172" s="137" t="s">
        <v>110</v>
      </c>
      <c r="AD172" s="138" t="s">
        <v>118</v>
      </c>
      <c r="AE172" s="83">
        <v>8760</v>
      </c>
      <c r="AF172" s="139">
        <v>1</v>
      </c>
      <c r="AG172" s="139">
        <f t="shared" si="24"/>
        <v>0.82191780821917804</v>
      </c>
      <c r="AH172" s="139">
        <v>0.6</v>
      </c>
      <c r="AI172" s="139">
        <v>0.6</v>
      </c>
      <c r="AJ172" s="83">
        <f t="shared" si="25"/>
        <v>2880</v>
      </c>
      <c r="AK172" s="83">
        <f t="shared" si="26"/>
        <v>4320</v>
      </c>
      <c r="AL172" s="104">
        <f t="shared" si="27"/>
        <v>1.0283744974152784</v>
      </c>
      <c r="AM172" s="104">
        <f t="shared" si="28"/>
        <v>1.0283744974152784</v>
      </c>
      <c r="AN172" s="83">
        <f t="shared" si="29"/>
        <v>2961.7185525560017</v>
      </c>
      <c r="AO172" s="83">
        <f t="shared" si="30"/>
        <v>4442.5778288340025</v>
      </c>
      <c r="AP172" s="182">
        <f t="shared" si="31"/>
        <v>10.105798341918435</v>
      </c>
      <c r="AQ172" s="182">
        <f t="shared" si="32"/>
        <v>15.158697512877652</v>
      </c>
      <c r="AR172" s="85"/>
      <c r="AS172" s="85"/>
      <c r="AT172" s="53"/>
      <c r="AU172" s="53"/>
      <c r="AV172" s="107"/>
      <c r="AW172" s="53"/>
      <c r="AX172" s="53"/>
      <c r="AY172" s="53"/>
      <c r="AZ172" s="53"/>
      <c r="BA172" s="53"/>
      <c r="BB172" s="53"/>
      <c r="BC172" s="111">
        <f t="shared" si="33"/>
        <v>2961.7185525560017</v>
      </c>
      <c r="BD172" s="111">
        <f t="shared" si="34"/>
        <v>4442.5778288340025</v>
      </c>
    </row>
    <row r="173" spans="1:56" ht="15.75" x14ac:dyDescent="0.25">
      <c r="A173" s="53">
        <v>163</v>
      </c>
      <c r="B173" s="53"/>
      <c r="C173" s="53"/>
      <c r="D173" s="53" t="s">
        <v>135</v>
      </c>
      <c r="E173" s="53"/>
      <c r="F173" s="53"/>
      <c r="G173" s="53" t="s">
        <v>211</v>
      </c>
      <c r="H173" s="53" t="s">
        <v>849</v>
      </c>
      <c r="I173" s="85" t="s">
        <v>850</v>
      </c>
      <c r="J173" s="85" t="s">
        <v>924</v>
      </c>
      <c r="K173" s="85" t="s">
        <v>925</v>
      </c>
      <c r="L173" s="53" t="s">
        <v>216</v>
      </c>
      <c r="M173" s="53" t="s">
        <v>926</v>
      </c>
      <c r="N173" s="53"/>
      <c r="O173" s="85" t="s">
        <v>135</v>
      </c>
      <c r="P173" s="53">
        <v>1</v>
      </c>
      <c r="Q173" s="185">
        <v>0.25</v>
      </c>
      <c r="R173" s="178">
        <v>0.8</v>
      </c>
      <c r="S173" s="53">
        <v>5.8</v>
      </c>
      <c r="T173" s="53"/>
      <c r="U173" s="53">
        <v>1</v>
      </c>
      <c r="V173" s="53">
        <v>120</v>
      </c>
      <c r="W173" s="53"/>
      <c r="X173" s="53"/>
      <c r="Y173" s="53"/>
      <c r="Z173" s="53"/>
      <c r="AA173" s="53"/>
      <c r="AB173" s="53"/>
      <c r="AC173" s="137" t="s">
        <v>110</v>
      </c>
      <c r="AD173" s="138" t="s">
        <v>118</v>
      </c>
      <c r="AE173" s="83">
        <v>8760</v>
      </c>
      <c r="AF173" s="139">
        <v>1</v>
      </c>
      <c r="AG173" s="179">
        <v>1</v>
      </c>
      <c r="AH173" s="139">
        <v>1</v>
      </c>
      <c r="AI173" s="139">
        <v>1</v>
      </c>
      <c r="AJ173" s="83">
        <f t="shared" si="25"/>
        <v>3504</v>
      </c>
      <c r="AK173" s="83">
        <f t="shared" si="26"/>
        <v>5256</v>
      </c>
      <c r="AL173" s="104">
        <f t="shared" si="27"/>
        <v>0.233125</v>
      </c>
      <c r="AM173" s="104">
        <f t="shared" si="28"/>
        <v>0.233125</v>
      </c>
      <c r="AN173" s="83">
        <f t="shared" si="29"/>
        <v>816.87</v>
      </c>
      <c r="AO173" s="83">
        <f t="shared" si="30"/>
        <v>1225.3050000000001</v>
      </c>
      <c r="AP173" s="182">
        <f t="shared" si="31"/>
        <v>2.7872748018000002</v>
      </c>
      <c r="AQ173" s="182">
        <f t="shared" si="32"/>
        <v>4.1809122027000001</v>
      </c>
      <c r="AR173" s="85"/>
      <c r="AS173" s="85"/>
      <c r="AT173" s="53"/>
      <c r="AU173" s="53"/>
      <c r="AV173" s="107"/>
      <c r="AW173" s="53"/>
      <c r="AX173" s="53"/>
      <c r="AY173" s="53"/>
      <c r="AZ173" s="53"/>
      <c r="BA173" s="53"/>
      <c r="BB173" s="53"/>
      <c r="BC173" s="111">
        <f t="shared" si="33"/>
        <v>816.87</v>
      </c>
      <c r="BD173" s="111">
        <f t="shared" si="34"/>
        <v>1225.3050000000001</v>
      </c>
    </row>
    <row r="174" spans="1:56" ht="15.75" x14ac:dyDescent="0.25">
      <c r="A174" s="53">
        <v>164</v>
      </c>
      <c r="B174" s="53"/>
      <c r="C174" s="53"/>
      <c r="D174" s="53" t="s">
        <v>135</v>
      </c>
      <c r="E174" s="53"/>
      <c r="F174" s="53"/>
      <c r="G174" s="53" t="s">
        <v>211</v>
      </c>
      <c r="H174" s="53" t="s">
        <v>849</v>
      </c>
      <c r="I174" s="85" t="s">
        <v>850</v>
      </c>
      <c r="J174" s="85" t="s">
        <v>927</v>
      </c>
      <c r="K174" s="85" t="s">
        <v>925</v>
      </c>
      <c r="L174" s="53" t="s">
        <v>216</v>
      </c>
      <c r="M174" s="53" t="s">
        <v>926</v>
      </c>
      <c r="N174" s="53"/>
      <c r="O174" s="85" t="s">
        <v>135</v>
      </c>
      <c r="P174" s="53">
        <v>1</v>
      </c>
      <c r="Q174" s="185">
        <v>0.25</v>
      </c>
      <c r="R174" s="178">
        <v>0.8</v>
      </c>
      <c r="S174" s="53">
        <v>5.8</v>
      </c>
      <c r="T174" s="53"/>
      <c r="U174" s="53">
        <v>1</v>
      </c>
      <c r="V174" s="53">
        <v>120</v>
      </c>
      <c r="W174" s="53"/>
      <c r="X174" s="53"/>
      <c r="Y174" s="53"/>
      <c r="Z174" s="53"/>
      <c r="AA174" s="53"/>
      <c r="AB174" s="53"/>
      <c r="AC174" s="137" t="s">
        <v>110</v>
      </c>
      <c r="AD174" s="138" t="s">
        <v>118</v>
      </c>
      <c r="AE174" s="83">
        <v>8760</v>
      </c>
      <c r="AF174" s="139">
        <v>1</v>
      </c>
      <c r="AG174" s="179">
        <v>1</v>
      </c>
      <c r="AH174" s="139">
        <v>1</v>
      </c>
      <c r="AI174" s="139">
        <v>1</v>
      </c>
      <c r="AJ174" s="83">
        <f t="shared" si="25"/>
        <v>3504</v>
      </c>
      <c r="AK174" s="83">
        <f t="shared" si="26"/>
        <v>5256</v>
      </c>
      <c r="AL174" s="104">
        <f t="shared" si="27"/>
        <v>0.233125</v>
      </c>
      <c r="AM174" s="104">
        <f t="shared" si="28"/>
        <v>0.233125</v>
      </c>
      <c r="AN174" s="83">
        <f t="shared" si="29"/>
        <v>816.87</v>
      </c>
      <c r="AO174" s="83">
        <f t="shared" si="30"/>
        <v>1225.3050000000001</v>
      </c>
      <c r="AP174" s="182">
        <f t="shared" si="31"/>
        <v>2.7872748018000002</v>
      </c>
      <c r="AQ174" s="182">
        <f t="shared" si="32"/>
        <v>4.1809122027000001</v>
      </c>
      <c r="AR174" s="85"/>
      <c r="AS174" s="85"/>
      <c r="AT174" s="53"/>
      <c r="AU174" s="53"/>
      <c r="AV174" s="107"/>
      <c r="AW174" s="53"/>
      <c r="AX174" s="53"/>
      <c r="AY174" s="53"/>
      <c r="AZ174" s="53"/>
      <c r="BA174" s="53"/>
      <c r="BB174" s="53"/>
      <c r="BC174" s="111">
        <f t="shared" si="33"/>
        <v>816.87</v>
      </c>
      <c r="BD174" s="111">
        <f t="shared" si="34"/>
        <v>1225.3050000000001</v>
      </c>
    </row>
    <row r="175" spans="1:56" ht="15.75" x14ac:dyDescent="0.25">
      <c r="A175" s="53">
        <v>165</v>
      </c>
      <c r="B175" s="53"/>
      <c r="C175" s="53"/>
      <c r="D175" s="53" t="s">
        <v>135</v>
      </c>
      <c r="E175" s="53"/>
      <c r="F175" s="53"/>
      <c r="G175" s="53" t="s">
        <v>211</v>
      </c>
      <c r="H175" s="53" t="s">
        <v>849</v>
      </c>
      <c r="I175" s="85" t="s">
        <v>850</v>
      </c>
      <c r="J175" s="85" t="s">
        <v>928</v>
      </c>
      <c r="K175" s="85" t="s">
        <v>925</v>
      </c>
      <c r="L175" s="53" t="s">
        <v>216</v>
      </c>
      <c r="M175" s="53" t="s">
        <v>926</v>
      </c>
      <c r="N175" s="53"/>
      <c r="O175" s="85" t="s">
        <v>135</v>
      </c>
      <c r="P175" s="53">
        <v>1</v>
      </c>
      <c r="Q175" s="185">
        <v>0.25</v>
      </c>
      <c r="R175" s="178">
        <v>0.8</v>
      </c>
      <c r="S175" s="53">
        <v>5.8</v>
      </c>
      <c r="T175" s="53"/>
      <c r="U175" s="53">
        <v>1</v>
      </c>
      <c r="V175" s="53">
        <v>120</v>
      </c>
      <c r="W175" s="53"/>
      <c r="X175" s="53"/>
      <c r="Y175" s="53"/>
      <c r="Z175" s="53"/>
      <c r="AA175" s="53"/>
      <c r="AB175" s="53"/>
      <c r="AC175" s="137" t="s">
        <v>110</v>
      </c>
      <c r="AD175" s="138" t="s">
        <v>118</v>
      </c>
      <c r="AE175" s="83">
        <v>8760</v>
      </c>
      <c r="AF175" s="139">
        <v>1</v>
      </c>
      <c r="AG175" s="179">
        <v>1</v>
      </c>
      <c r="AH175" s="139">
        <v>1</v>
      </c>
      <c r="AI175" s="139">
        <v>1</v>
      </c>
      <c r="AJ175" s="83">
        <f t="shared" si="25"/>
        <v>3504</v>
      </c>
      <c r="AK175" s="83">
        <f t="shared" si="26"/>
        <v>5256</v>
      </c>
      <c r="AL175" s="104">
        <f t="shared" si="27"/>
        <v>0.233125</v>
      </c>
      <c r="AM175" s="104">
        <f t="shared" si="28"/>
        <v>0.233125</v>
      </c>
      <c r="AN175" s="83">
        <f t="shared" si="29"/>
        <v>816.87</v>
      </c>
      <c r="AO175" s="83">
        <f t="shared" si="30"/>
        <v>1225.3050000000001</v>
      </c>
      <c r="AP175" s="182">
        <f t="shared" si="31"/>
        <v>2.7872748018000002</v>
      </c>
      <c r="AQ175" s="182">
        <f t="shared" si="32"/>
        <v>4.1809122027000001</v>
      </c>
      <c r="AR175" s="85"/>
      <c r="AS175" s="85"/>
      <c r="AT175" s="53"/>
      <c r="AU175" s="53"/>
      <c r="AV175" s="107"/>
      <c r="AW175" s="53"/>
      <c r="AX175" s="53"/>
      <c r="AY175" s="53"/>
      <c r="AZ175" s="53"/>
      <c r="BA175" s="53"/>
      <c r="BB175" s="53"/>
      <c r="BC175" s="111">
        <f t="shared" si="33"/>
        <v>816.87</v>
      </c>
      <c r="BD175" s="111">
        <f t="shared" si="34"/>
        <v>1225.3050000000001</v>
      </c>
    </row>
    <row r="176" spans="1:56" ht="15.75" x14ac:dyDescent="0.25">
      <c r="A176" s="53">
        <v>166</v>
      </c>
      <c r="B176" s="53"/>
      <c r="C176" s="53"/>
      <c r="D176" s="53" t="s">
        <v>135</v>
      </c>
      <c r="E176" s="53"/>
      <c r="F176" s="53"/>
      <c r="G176" s="53" t="s">
        <v>211</v>
      </c>
      <c r="H176" s="53" t="s">
        <v>849</v>
      </c>
      <c r="I176" s="85" t="s">
        <v>850</v>
      </c>
      <c r="J176" s="85" t="s">
        <v>929</v>
      </c>
      <c r="K176" s="85" t="s">
        <v>925</v>
      </c>
      <c r="L176" s="53" t="s">
        <v>216</v>
      </c>
      <c r="M176" s="53" t="s">
        <v>926</v>
      </c>
      <c r="N176" s="53"/>
      <c r="O176" s="85" t="s">
        <v>135</v>
      </c>
      <c r="P176" s="53">
        <v>1</v>
      </c>
      <c r="Q176" s="185">
        <v>0.25</v>
      </c>
      <c r="R176" s="178">
        <v>0.8</v>
      </c>
      <c r="S176" s="53">
        <v>5.8</v>
      </c>
      <c r="T176" s="53"/>
      <c r="U176" s="53">
        <v>1</v>
      </c>
      <c r="V176" s="53">
        <v>120</v>
      </c>
      <c r="W176" s="53"/>
      <c r="X176" s="53"/>
      <c r="Y176" s="53"/>
      <c r="Z176" s="53"/>
      <c r="AA176" s="53"/>
      <c r="AB176" s="53"/>
      <c r="AC176" s="137" t="s">
        <v>110</v>
      </c>
      <c r="AD176" s="138" t="s">
        <v>118</v>
      </c>
      <c r="AE176" s="83">
        <v>8760</v>
      </c>
      <c r="AF176" s="139">
        <v>1</v>
      </c>
      <c r="AG176" s="179">
        <v>1</v>
      </c>
      <c r="AH176" s="139">
        <v>1</v>
      </c>
      <c r="AI176" s="139">
        <v>1</v>
      </c>
      <c r="AJ176" s="83">
        <f t="shared" si="25"/>
        <v>3504</v>
      </c>
      <c r="AK176" s="83">
        <f t="shared" si="26"/>
        <v>5256</v>
      </c>
      <c r="AL176" s="104">
        <f t="shared" si="27"/>
        <v>0.233125</v>
      </c>
      <c r="AM176" s="104">
        <f t="shared" si="28"/>
        <v>0.233125</v>
      </c>
      <c r="AN176" s="83">
        <f t="shared" si="29"/>
        <v>816.87</v>
      </c>
      <c r="AO176" s="83">
        <f t="shared" si="30"/>
        <v>1225.3050000000001</v>
      </c>
      <c r="AP176" s="182">
        <f t="shared" si="31"/>
        <v>2.7872748018000002</v>
      </c>
      <c r="AQ176" s="182">
        <f t="shared" si="32"/>
        <v>4.1809122027000001</v>
      </c>
      <c r="AR176" s="85"/>
      <c r="AS176" s="85"/>
      <c r="AT176" s="53"/>
      <c r="AU176" s="53"/>
      <c r="AV176" s="107"/>
      <c r="AW176" s="53"/>
      <c r="AX176" s="53"/>
      <c r="AY176" s="53"/>
      <c r="AZ176" s="53"/>
      <c r="BA176" s="53"/>
      <c r="BB176" s="53"/>
      <c r="BC176" s="111">
        <f t="shared" si="33"/>
        <v>816.87</v>
      </c>
      <c r="BD176" s="111">
        <f t="shared" si="34"/>
        <v>1225.3050000000001</v>
      </c>
    </row>
    <row r="177" spans="1:56" ht="15.75" x14ac:dyDescent="0.25">
      <c r="A177" s="53">
        <v>167</v>
      </c>
      <c r="B177" s="53"/>
      <c r="C177" s="53"/>
      <c r="D177" s="53" t="s">
        <v>135</v>
      </c>
      <c r="E177" s="53"/>
      <c r="F177" s="53"/>
      <c r="G177" s="53" t="s">
        <v>211</v>
      </c>
      <c r="H177" s="53" t="s">
        <v>849</v>
      </c>
      <c r="I177" s="85" t="s">
        <v>850</v>
      </c>
      <c r="J177" s="85" t="s">
        <v>930</v>
      </c>
      <c r="K177" s="85" t="s">
        <v>925</v>
      </c>
      <c r="L177" s="53" t="s">
        <v>216</v>
      </c>
      <c r="M177" s="53" t="s">
        <v>926</v>
      </c>
      <c r="N177" s="53"/>
      <c r="O177" s="85" t="s">
        <v>135</v>
      </c>
      <c r="P177" s="53">
        <v>1</v>
      </c>
      <c r="Q177" s="185">
        <v>0.25</v>
      </c>
      <c r="R177" s="178">
        <v>0.8</v>
      </c>
      <c r="S177" s="53">
        <v>5.8</v>
      </c>
      <c r="T177" s="53"/>
      <c r="U177" s="53">
        <v>1</v>
      </c>
      <c r="V177" s="53">
        <v>120</v>
      </c>
      <c r="W177" s="53"/>
      <c r="X177" s="53"/>
      <c r="Y177" s="53"/>
      <c r="Z177" s="53"/>
      <c r="AA177" s="53"/>
      <c r="AB177" s="53"/>
      <c r="AC177" s="137" t="s">
        <v>110</v>
      </c>
      <c r="AD177" s="138" t="s">
        <v>118</v>
      </c>
      <c r="AE177" s="83">
        <v>8760</v>
      </c>
      <c r="AF177" s="139">
        <v>1</v>
      </c>
      <c r="AG177" s="179">
        <v>1</v>
      </c>
      <c r="AH177" s="139">
        <v>1</v>
      </c>
      <c r="AI177" s="139">
        <v>1</v>
      </c>
      <c r="AJ177" s="83">
        <f t="shared" si="25"/>
        <v>3504</v>
      </c>
      <c r="AK177" s="83">
        <f t="shared" si="26"/>
        <v>5256</v>
      </c>
      <c r="AL177" s="104">
        <f t="shared" si="27"/>
        <v>0.233125</v>
      </c>
      <c r="AM177" s="104">
        <f t="shared" si="28"/>
        <v>0.233125</v>
      </c>
      <c r="AN177" s="83">
        <f t="shared" si="29"/>
        <v>816.87</v>
      </c>
      <c r="AO177" s="83">
        <f t="shared" si="30"/>
        <v>1225.3050000000001</v>
      </c>
      <c r="AP177" s="182">
        <f t="shared" si="31"/>
        <v>2.7872748018000002</v>
      </c>
      <c r="AQ177" s="182">
        <f t="shared" si="32"/>
        <v>4.1809122027000001</v>
      </c>
      <c r="AR177" s="85"/>
      <c r="AS177" s="85"/>
      <c r="AT177" s="53"/>
      <c r="AU177" s="53"/>
      <c r="AV177" s="107"/>
      <c r="AW177" s="53"/>
      <c r="AX177" s="53"/>
      <c r="AY177" s="53"/>
      <c r="AZ177" s="53"/>
      <c r="BA177" s="53"/>
      <c r="BB177" s="53"/>
      <c r="BC177" s="111">
        <f t="shared" si="33"/>
        <v>816.87</v>
      </c>
      <c r="BD177" s="111">
        <f t="shared" si="34"/>
        <v>1225.3050000000001</v>
      </c>
    </row>
    <row r="178" spans="1:56" ht="15.75" x14ac:dyDescent="0.25">
      <c r="A178" s="53">
        <v>168</v>
      </c>
      <c r="B178" s="53"/>
      <c r="C178" s="53"/>
      <c r="D178" s="53" t="s">
        <v>135</v>
      </c>
      <c r="E178" s="53"/>
      <c r="F178" s="53"/>
      <c r="G178" s="53" t="s">
        <v>211</v>
      </c>
      <c r="H178" s="53" t="s">
        <v>849</v>
      </c>
      <c r="I178" s="85" t="s">
        <v>850</v>
      </c>
      <c r="J178" s="85" t="s">
        <v>931</v>
      </c>
      <c r="K178" s="85" t="s">
        <v>925</v>
      </c>
      <c r="L178" s="53" t="s">
        <v>216</v>
      </c>
      <c r="M178" s="53" t="s">
        <v>926</v>
      </c>
      <c r="N178" s="53"/>
      <c r="O178" s="85" t="s">
        <v>135</v>
      </c>
      <c r="P178" s="53">
        <v>1</v>
      </c>
      <c r="Q178" s="185">
        <v>0.25</v>
      </c>
      <c r="R178" s="178">
        <v>0.8</v>
      </c>
      <c r="S178" s="53">
        <v>5.8</v>
      </c>
      <c r="T178" s="53"/>
      <c r="U178" s="53">
        <v>1</v>
      </c>
      <c r="V178" s="53">
        <v>120</v>
      </c>
      <c r="W178" s="53"/>
      <c r="X178" s="53"/>
      <c r="Y178" s="53"/>
      <c r="Z178" s="53"/>
      <c r="AA178" s="53"/>
      <c r="AB178" s="53"/>
      <c r="AC178" s="137" t="s">
        <v>110</v>
      </c>
      <c r="AD178" s="138" t="s">
        <v>118</v>
      </c>
      <c r="AE178" s="83">
        <v>8760</v>
      </c>
      <c r="AF178" s="139">
        <v>1</v>
      </c>
      <c r="AG178" s="179">
        <v>1</v>
      </c>
      <c r="AH178" s="139">
        <v>1</v>
      </c>
      <c r="AI178" s="139">
        <v>1</v>
      </c>
      <c r="AJ178" s="83">
        <f t="shared" si="25"/>
        <v>3504</v>
      </c>
      <c r="AK178" s="83">
        <f t="shared" si="26"/>
        <v>5256</v>
      </c>
      <c r="AL178" s="104">
        <f t="shared" si="27"/>
        <v>0.233125</v>
      </c>
      <c r="AM178" s="104">
        <f t="shared" si="28"/>
        <v>0.233125</v>
      </c>
      <c r="AN178" s="83">
        <f t="shared" si="29"/>
        <v>816.87</v>
      </c>
      <c r="AO178" s="83">
        <f t="shared" si="30"/>
        <v>1225.3050000000001</v>
      </c>
      <c r="AP178" s="182">
        <f t="shared" si="31"/>
        <v>2.7872748018000002</v>
      </c>
      <c r="AQ178" s="182">
        <f t="shared" si="32"/>
        <v>4.1809122027000001</v>
      </c>
      <c r="AR178" s="85"/>
      <c r="AS178" s="85"/>
      <c r="AT178" s="53"/>
      <c r="AU178" s="53"/>
      <c r="AV178" s="53"/>
      <c r="AW178" s="53"/>
      <c r="AX178" s="53"/>
      <c r="AY178" s="53"/>
      <c r="AZ178" s="53"/>
      <c r="BA178" s="53"/>
      <c r="BB178" s="53"/>
      <c r="BC178" s="111">
        <f t="shared" si="33"/>
        <v>816.87</v>
      </c>
      <c r="BD178" s="111">
        <f t="shared" si="34"/>
        <v>1225.3050000000001</v>
      </c>
    </row>
    <row r="179" spans="1:56" ht="15.75" x14ac:dyDescent="0.25">
      <c r="A179" s="53">
        <v>169</v>
      </c>
      <c r="B179" s="53"/>
      <c r="C179" s="53"/>
      <c r="D179" s="53" t="s">
        <v>135</v>
      </c>
      <c r="E179" s="53"/>
      <c r="F179" s="53"/>
      <c r="G179" s="53" t="s">
        <v>290</v>
      </c>
      <c r="H179" s="53" t="s">
        <v>291</v>
      </c>
      <c r="I179" s="85" t="s">
        <v>446</v>
      </c>
      <c r="J179" s="85" t="s">
        <v>541</v>
      </c>
      <c r="K179" s="85" t="s">
        <v>448</v>
      </c>
      <c r="L179" s="53" t="s">
        <v>216</v>
      </c>
      <c r="M179" s="53" t="s">
        <v>252</v>
      </c>
      <c r="N179" s="53"/>
      <c r="O179" s="85" t="s">
        <v>135</v>
      </c>
      <c r="P179" s="53">
        <v>1</v>
      </c>
      <c r="Q179" s="183">
        <v>20</v>
      </c>
      <c r="R179" s="84">
        <v>0.89700000000000002</v>
      </c>
      <c r="S179" s="53">
        <v>27</v>
      </c>
      <c r="T179" s="53"/>
      <c r="U179" s="53">
        <v>3</v>
      </c>
      <c r="V179" s="53">
        <v>480</v>
      </c>
      <c r="W179" s="53"/>
      <c r="X179" s="53"/>
      <c r="Y179" s="53"/>
      <c r="Z179" s="53"/>
      <c r="AA179" s="53"/>
      <c r="AB179" s="53"/>
      <c r="AC179" s="137" t="s">
        <v>124</v>
      </c>
      <c r="AD179" s="138" t="s">
        <v>118</v>
      </c>
      <c r="AE179" s="83">
        <v>8760</v>
      </c>
      <c r="AF179" s="139">
        <v>1</v>
      </c>
      <c r="AG179" s="139">
        <f t="shared" ref="AG179:AG210" si="35">$AB$7</f>
        <v>0.82191780821917804</v>
      </c>
      <c r="AH179" s="139">
        <v>0.6</v>
      </c>
      <c r="AI179" s="139">
        <v>0.6</v>
      </c>
      <c r="AJ179" s="83">
        <f t="shared" si="25"/>
        <v>2880</v>
      </c>
      <c r="AK179" s="83">
        <f t="shared" si="26"/>
        <v>4320</v>
      </c>
      <c r="AL179" s="104">
        <f t="shared" si="27"/>
        <v>9.9799331103678917</v>
      </c>
      <c r="AM179" s="104">
        <f t="shared" si="28"/>
        <v>9.9799331103678917</v>
      </c>
      <c r="AN179" s="83">
        <f t="shared" si="29"/>
        <v>28742.207357859526</v>
      </c>
      <c r="AO179" s="83">
        <f t="shared" si="30"/>
        <v>43113.311036789295</v>
      </c>
      <c r="AP179" s="182">
        <f t="shared" si="31"/>
        <v>98.072435414046794</v>
      </c>
      <c r="AQ179" s="182">
        <f t="shared" si="32"/>
        <v>147.1086531210702</v>
      </c>
      <c r="AR179" s="85"/>
      <c r="AS179" s="85"/>
      <c r="AT179" s="53"/>
      <c r="AU179" s="53"/>
      <c r="AV179" s="53"/>
      <c r="AW179" s="53"/>
      <c r="AX179" s="53"/>
      <c r="AY179" s="53"/>
      <c r="AZ179" s="53"/>
      <c r="BA179" s="53"/>
      <c r="BB179" s="53"/>
      <c r="BC179" s="111">
        <f t="shared" si="33"/>
        <v>28742.207357859526</v>
      </c>
      <c r="BD179" s="111">
        <f t="shared" si="34"/>
        <v>43113.311036789295</v>
      </c>
    </row>
    <row r="180" spans="1:56" ht="15.75" x14ac:dyDescent="0.25">
      <c r="A180" s="53">
        <v>170</v>
      </c>
      <c r="B180" s="53"/>
      <c r="C180" s="53"/>
      <c r="D180" s="53" t="s">
        <v>135</v>
      </c>
      <c r="E180" s="53"/>
      <c r="F180" s="53"/>
      <c r="G180" s="53" t="s">
        <v>290</v>
      </c>
      <c r="H180" s="53" t="s">
        <v>291</v>
      </c>
      <c r="I180" s="85" t="s">
        <v>446</v>
      </c>
      <c r="J180" s="85" t="s">
        <v>488</v>
      </c>
      <c r="K180" s="85" t="s">
        <v>448</v>
      </c>
      <c r="L180" s="53" t="s">
        <v>216</v>
      </c>
      <c r="M180" s="53" t="s">
        <v>252</v>
      </c>
      <c r="N180" s="53"/>
      <c r="O180" s="85" t="s">
        <v>135</v>
      </c>
      <c r="P180" s="53">
        <v>1</v>
      </c>
      <c r="Q180" s="183">
        <v>25</v>
      </c>
      <c r="R180" s="84">
        <v>0.90050000000000008</v>
      </c>
      <c r="S180" s="53">
        <v>34</v>
      </c>
      <c r="T180" s="53"/>
      <c r="U180" s="53">
        <v>3</v>
      </c>
      <c r="V180" s="53">
        <v>480</v>
      </c>
      <c r="W180" s="53"/>
      <c r="X180" s="53"/>
      <c r="Y180" s="53"/>
      <c r="Z180" s="53"/>
      <c r="AA180" s="53"/>
      <c r="AB180" s="53"/>
      <c r="AC180" s="137" t="s">
        <v>124</v>
      </c>
      <c r="AD180" s="138" t="s">
        <v>118</v>
      </c>
      <c r="AE180" s="83">
        <v>8760</v>
      </c>
      <c r="AF180" s="139">
        <v>1</v>
      </c>
      <c r="AG180" s="139">
        <f t="shared" si="35"/>
        <v>0.82191780821917804</v>
      </c>
      <c r="AH180" s="139">
        <v>0.6</v>
      </c>
      <c r="AI180" s="139">
        <v>0.6</v>
      </c>
      <c r="AJ180" s="83">
        <f t="shared" si="25"/>
        <v>2880</v>
      </c>
      <c r="AK180" s="83">
        <f t="shared" si="26"/>
        <v>4320</v>
      </c>
      <c r="AL180" s="104">
        <f t="shared" si="27"/>
        <v>12.426429761243751</v>
      </c>
      <c r="AM180" s="104">
        <f t="shared" si="28"/>
        <v>12.426429761243751</v>
      </c>
      <c r="AN180" s="83">
        <f t="shared" si="29"/>
        <v>35788.117712382002</v>
      </c>
      <c r="AO180" s="83">
        <f t="shared" si="30"/>
        <v>53682.176568573006</v>
      </c>
      <c r="AP180" s="182">
        <f t="shared" si="31"/>
        <v>122.11406797112713</v>
      </c>
      <c r="AQ180" s="182">
        <f t="shared" si="32"/>
        <v>183.17110195669071</v>
      </c>
      <c r="AR180" s="85"/>
      <c r="AS180" s="85"/>
      <c r="AT180" s="53"/>
      <c r="AU180" s="53"/>
      <c r="AV180" s="53"/>
      <c r="AW180" s="53"/>
      <c r="AX180" s="53"/>
      <c r="AY180" s="53"/>
      <c r="AZ180" s="53"/>
      <c r="BA180" s="53"/>
      <c r="BB180" s="53"/>
      <c r="BC180" s="111">
        <f t="shared" si="33"/>
        <v>35788.117712382002</v>
      </c>
      <c r="BD180" s="111">
        <f t="shared" si="34"/>
        <v>53682.176568573006</v>
      </c>
    </row>
    <row r="181" spans="1:56" ht="15.75" x14ac:dyDescent="0.25">
      <c r="A181" s="53">
        <v>171</v>
      </c>
      <c r="B181" s="53"/>
      <c r="C181" s="53"/>
      <c r="D181" s="53" t="s">
        <v>135</v>
      </c>
      <c r="E181" s="53"/>
      <c r="F181" s="53"/>
      <c r="G181" s="53" t="s">
        <v>290</v>
      </c>
      <c r="H181" s="53" t="s">
        <v>291</v>
      </c>
      <c r="I181" s="85" t="s">
        <v>446</v>
      </c>
      <c r="J181" s="85" t="s">
        <v>574</v>
      </c>
      <c r="K181" s="85" t="s">
        <v>448</v>
      </c>
      <c r="L181" s="53" t="s">
        <v>216</v>
      </c>
      <c r="M181" s="53" t="s">
        <v>252</v>
      </c>
      <c r="N181" s="53"/>
      <c r="O181" s="85" t="s">
        <v>135</v>
      </c>
      <c r="P181" s="53">
        <v>1</v>
      </c>
      <c r="Q181" s="183">
        <v>15</v>
      </c>
      <c r="R181" s="84">
        <v>0.87850000000000006</v>
      </c>
      <c r="S181" s="53">
        <v>21</v>
      </c>
      <c r="T181" s="53"/>
      <c r="U181" s="53">
        <v>3</v>
      </c>
      <c r="V181" s="53">
        <v>480</v>
      </c>
      <c r="W181" s="53"/>
      <c r="X181" s="53"/>
      <c r="Y181" s="53"/>
      <c r="Z181" s="53"/>
      <c r="AA181" s="53"/>
      <c r="AB181" s="53"/>
      <c r="AC181" s="137" t="s">
        <v>124</v>
      </c>
      <c r="AD181" s="138" t="s">
        <v>118</v>
      </c>
      <c r="AE181" s="83">
        <v>8760</v>
      </c>
      <c r="AF181" s="139">
        <v>1</v>
      </c>
      <c r="AG181" s="139">
        <f t="shared" si="35"/>
        <v>0.82191780821917804</v>
      </c>
      <c r="AH181" s="139">
        <v>0.6</v>
      </c>
      <c r="AI181" s="139">
        <v>0.6</v>
      </c>
      <c r="AJ181" s="83">
        <f t="shared" si="25"/>
        <v>2880</v>
      </c>
      <c r="AK181" s="83">
        <f t="shared" si="26"/>
        <v>4320</v>
      </c>
      <c r="AL181" s="104">
        <f t="shared" si="27"/>
        <v>7.642572566875355</v>
      </c>
      <c r="AM181" s="104">
        <f t="shared" si="28"/>
        <v>7.642572566875355</v>
      </c>
      <c r="AN181" s="83">
        <f t="shared" si="29"/>
        <v>22010.608992601021</v>
      </c>
      <c r="AO181" s="83">
        <f t="shared" si="30"/>
        <v>33015.913488901533</v>
      </c>
      <c r="AP181" s="182">
        <f t="shared" si="31"/>
        <v>75.103279368013645</v>
      </c>
      <c r="AQ181" s="182">
        <f t="shared" si="32"/>
        <v>112.65491905202047</v>
      </c>
      <c r="AR181" s="85"/>
      <c r="AS181" s="85"/>
      <c r="AT181" s="53"/>
      <c r="AU181" s="53"/>
      <c r="AV181" s="53"/>
      <c r="AW181" s="53"/>
      <c r="AX181" s="53"/>
      <c r="AY181" s="53"/>
      <c r="AZ181" s="53"/>
      <c r="BA181" s="53"/>
      <c r="BB181" s="53"/>
      <c r="BC181" s="111">
        <f t="shared" si="33"/>
        <v>22010.608992601021</v>
      </c>
      <c r="BD181" s="111">
        <f t="shared" si="34"/>
        <v>33015.913488901533</v>
      </c>
    </row>
    <row r="182" spans="1:56" ht="15.75" x14ac:dyDescent="0.25">
      <c r="A182" s="53">
        <v>172</v>
      </c>
      <c r="B182" s="53"/>
      <c r="C182" s="53"/>
      <c r="D182" s="53" t="s">
        <v>135</v>
      </c>
      <c r="E182" s="53"/>
      <c r="F182" s="53"/>
      <c r="G182" s="53" t="s">
        <v>290</v>
      </c>
      <c r="H182" s="53" t="s">
        <v>291</v>
      </c>
      <c r="I182" s="85" t="s">
        <v>446</v>
      </c>
      <c r="J182" s="85" t="s">
        <v>447</v>
      </c>
      <c r="K182" s="85" t="s">
        <v>448</v>
      </c>
      <c r="L182" s="53" t="s">
        <v>216</v>
      </c>
      <c r="M182" s="53" t="s">
        <v>252</v>
      </c>
      <c r="N182" s="53"/>
      <c r="O182" s="85" t="s">
        <v>135</v>
      </c>
      <c r="P182" s="53">
        <v>1</v>
      </c>
      <c r="Q182" s="183">
        <v>40</v>
      </c>
      <c r="R182" s="84">
        <v>0.89250000000000007</v>
      </c>
      <c r="S182" s="53">
        <v>52</v>
      </c>
      <c r="T182" s="53"/>
      <c r="U182" s="53">
        <v>3</v>
      </c>
      <c r="V182" s="53">
        <v>480</v>
      </c>
      <c r="W182" s="53"/>
      <c r="X182" s="53"/>
      <c r="Y182" s="53"/>
      <c r="Z182" s="53"/>
      <c r="AA182" s="53"/>
      <c r="AB182" s="53"/>
      <c r="AC182" s="137" t="s">
        <v>124</v>
      </c>
      <c r="AD182" s="138" t="s">
        <v>118</v>
      </c>
      <c r="AE182" s="83">
        <v>8760</v>
      </c>
      <c r="AF182" s="139">
        <v>1</v>
      </c>
      <c r="AG182" s="139">
        <f t="shared" si="35"/>
        <v>0.82191780821917804</v>
      </c>
      <c r="AH182" s="139">
        <v>0.6</v>
      </c>
      <c r="AI182" s="139">
        <v>0.6</v>
      </c>
      <c r="AJ182" s="83">
        <f t="shared" si="25"/>
        <v>2880</v>
      </c>
      <c r="AK182" s="83">
        <f t="shared" si="26"/>
        <v>4320</v>
      </c>
      <c r="AL182" s="104">
        <f t="shared" si="27"/>
        <v>20.060504201680669</v>
      </c>
      <c r="AM182" s="104">
        <f t="shared" si="28"/>
        <v>20.060504201680669</v>
      </c>
      <c r="AN182" s="83">
        <f t="shared" si="29"/>
        <v>57774.252100840327</v>
      </c>
      <c r="AO182" s="83">
        <f t="shared" si="30"/>
        <v>86661.378151260491</v>
      </c>
      <c r="AP182" s="182">
        <f t="shared" si="31"/>
        <v>197.13383656336131</v>
      </c>
      <c r="AQ182" s="182">
        <f t="shared" si="32"/>
        <v>295.70075484504201</v>
      </c>
      <c r="AR182" s="85"/>
      <c r="AS182" s="85"/>
      <c r="AT182" s="53"/>
      <c r="AU182" s="53"/>
      <c r="AV182" s="53"/>
      <c r="AW182" s="53"/>
      <c r="AX182" s="53"/>
      <c r="AY182" s="53"/>
      <c r="AZ182" s="53"/>
      <c r="BA182" s="53"/>
      <c r="BB182" s="53"/>
      <c r="BC182" s="111">
        <f t="shared" si="33"/>
        <v>57774.252100840327</v>
      </c>
      <c r="BD182" s="111">
        <f t="shared" si="34"/>
        <v>86661.378151260491</v>
      </c>
    </row>
    <row r="183" spans="1:56" ht="15.75" x14ac:dyDescent="0.25">
      <c r="A183" s="53">
        <v>173</v>
      </c>
      <c r="B183" s="53"/>
      <c r="C183" s="53"/>
      <c r="D183" s="53" t="s">
        <v>135</v>
      </c>
      <c r="E183" s="53"/>
      <c r="F183" s="53"/>
      <c r="G183" s="53" t="s">
        <v>290</v>
      </c>
      <c r="H183" s="53" t="s">
        <v>291</v>
      </c>
      <c r="I183" s="85" t="s">
        <v>446</v>
      </c>
      <c r="J183" s="85" t="s">
        <v>575</v>
      </c>
      <c r="K183" s="85" t="s">
        <v>448</v>
      </c>
      <c r="L183" s="53" t="s">
        <v>216</v>
      </c>
      <c r="M183" s="53" t="s">
        <v>252</v>
      </c>
      <c r="N183" s="53"/>
      <c r="O183" s="85" t="s">
        <v>135</v>
      </c>
      <c r="P183" s="53">
        <v>1</v>
      </c>
      <c r="Q183" s="183">
        <v>15</v>
      </c>
      <c r="R183" s="84">
        <v>0.87850000000000006</v>
      </c>
      <c r="S183" s="53">
        <v>21</v>
      </c>
      <c r="T183" s="53"/>
      <c r="U183" s="53">
        <v>3</v>
      </c>
      <c r="V183" s="53">
        <v>480</v>
      </c>
      <c r="W183" s="53"/>
      <c r="X183" s="53"/>
      <c r="Y183" s="53"/>
      <c r="Z183" s="53"/>
      <c r="AA183" s="53"/>
      <c r="AB183" s="53"/>
      <c r="AC183" s="137" t="s">
        <v>124</v>
      </c>
      <c r="AD183" s="138" t="s">
        <v>118</v>
      </c>
      <c r="AE183" s="83">
        <v>8760</v>
      </c>
      <c r="AF183" s="139">
        <v>1</v>
      </c>
      <c r="AG183" s="139">
        <f t="shared" si="35"/>
        <v>0.82191780821917804</v>
      </c>
      <c r="AH183" s="139">
        <v>0.6</v>
      </c>
      <c r="AI183" s="139">
        <v>0.6</v>
      </c>
      <c r="AJ183" s="83">
        <f t="shared" si="25"/>
        <v>2880</v>
      </c>
      <c r="AK183" s="83">
        <f t="shared" si="26"/>
        <v>4320</v>
      </c>
      <c r="AL183" s="104">
        <f t="shared" si="27"/>
        <v>7.642572566875355</v>
      </c>
      <c r="AM183" s="104">
        <f t="shared" si="28"/>
        <v>7.642572566875355</v>
      </c>
      <c r="AN183" s="83">
        <f t="shared" si="29"/>
        <v>22010.608992601021</v>
      </c>
      <c r="AO183" s="83">
        <f t="shared" si="30"/>
        <v>33015.913488901533</v>
      </c>
      <c r="AP183" s="182">
        <f t="shared" si="31"/>
        <v>75.103279368013645</v>
      </c>
      <c r="AQ183" s="182">
        <f t="shared" si="32"/>
        <v>112.65491905202047</v>
      </c>
      <c r="AR183" s="85"/>
      <c r="AS183" s="85"/>
      <c r="AT183" s="53"/>
      <c r="AU183" s="53"/>
      <c r="AV183" s="53"/>
      <c r="AW183" s="53"/>
      <c r="AX183" s="53"/>
      <c r="AY183" s="53"/>
      <c r="AZ183" s="53"/>
      <c r="BA183" s="53"/>
      <c r="BB183" s="53"/>
      <c r="BC183" s="111">
        <f t="shared" si="33"/>
        <v>22010.608992601021</v>
      </c>
      <c r="BD183" s="111">
        <f t="shared" si="34"/>
        <v>33015.913488901533</v>
      </c>
    </row>
    <row r="184" spans="1:56" ht="15.75" x14ac:dyDescent="0.25">
      <c r="A184" s="53">
        <v>174</v>
      </c>
      <c r="B184" s="53"/>
      <c r="C184" s="53"/>
      <c r="D184" s="53" t="s">
        <v>135</v>
      </c>
      <c r="E184" s="53"/>
      <c r="F184" s="53"/>
      <c r="G184" s="53" t="s">
        <v>290</v>
      </c>
      <c r="H184" s="53" t="s">
        <v>291</v>
      </c>
      <c r="I184" s="85" t="s">
        <v>446</v>
      </c>
      <c r="J184" s="85" t="s">
        <v>576</v>
      </c>
      <c r="K184" s="85" t="s">
        <v>448</v>
      </c>
      <c r="L184" s="53" t="s">
        <v>216</v>
      </c>
      <c r="M184" s="53" t="s">
        <v>252</v>
      </c>
      <c r="N184" s="53"/>
      <c r="O184" s="85" t="s">
        <v>135</v>
      </c>
      <c r="P184" s="53">
        <v>1</v>
      </c>
      <c r="Q184" s="183">
        <v>15</v>
      </c>
      <c r="R184" s="84">
        <v>0.87850000000000006</v>
      </c>
      <c r="S184" s="53">
        <v>21</v>
      </c>
      <c r="T184" s="53"/>
      <c r="U184" s="53">
        <v>3</v>
      </c>
      <c r="V184" s="53">
        <v>480</v>
      </c>
      <c r="W184" s="53"/>
      <c r="X184" s="53"/>
      <c r="Y184" s="53"/>
      <c r="Z184" s="53"/>
      <c r="AA184" s="53"/>
      <c r="AB184" s="53"/>
      <c r="AC184" s="137" t="s">
        <v>124</v>
      </c>
      <c r="AD184" s="138" t="s">
        <v>118</v>
      </c>
      <c r="AE184" s="83">
        <v>8760</v>
      </c>
      <c r="AF184" s="139">
        <v>1</v>
      </c>
      <c r="AG184" s="139">
        <f t="shared" si="35"/>
        <v>0.82191780821917804</v>
      </c>
      <c r="AH184" s="139">
        <v>0.6</v>
      </c>
      <c r="AI184" s="139">
        <v>0.6</v>
      </c>
      <c r="AJ184" s="83">
        <f t="shared" si="25"/>
        <v>2880</v>
      </c>
      <c r="AK184" s="83">
        <f t="shared" si="26"/>
        <v>4320</v>
      </c>
      <c r="AL184" s="104">
        <f t="shared" si="27"/>
        <v>7.642572566875355</v>
      </c>
      <c r="AM184" s="104">
        <f t="shared" si="28"/>
        <v>7.642572566875355</v>
      </c>
      <c r="AN184" s="83">
        <f t="shared" si="29"/>
        <v>22010.608992601021</v>
      </c>
      <c r="AO184" s="83">
        <f t="shared" si="30"/>
        <v>33015.913488901533</v>
      </c>
      <c r="AP184" s="182">
        <f t="shared" si="31"/>
        <v>75.103279368013645</v>
      </c>
      <c r="AQ184" s="182">
        <f t="shared" si="32"/>
        <v>112.65491905202047</v>
      </c>
      <c r="AR184" s="85"/>
      <c r="AS184" s="85"/>
      <c r="AT184" s="53"/>
      <c r="AU184" s="53"/>
      <c r="AV184" s="53"/>
      <c r="AW184" s="53"/>
      <c r="AX184" s="53"/>
      <c r="AY184" s="53"/>
      <c r="AZ184" s="53"/>
      <c r="BA184" s="53"/>
      <c r="BB184" s="53"/>
      <c r="BC184" s="111">
        <f t="shared" si="33"/>
        <v>22010.608992601021</v>
      </c>
      <c r="BD184" s="111">
        <f t="shared" si="34"/>
        <v>33015.913488901533</v>
      </c>
    </row>
    <row r="185" spans="1:56" ht="21" customHeight="1" x14ac:dyDescent="0.25">
      <c r="A185" s="53">
        <v>175</v>
      </c>
      <c r="B185" s="53"/>
      <c r="C185" s="53"/>
      <c r="D185" s="53" t="s">
        <v>135</v>
      </c>
      <c r="E185" s="53"/>
      <c r="F185" s="53"/>
      <c r="G185" s="53" t="s">
        <v>290</v>
      </c>
      <c r="H185" s="53" t="s">
        <v>291</v>
      </c>
      <c r="I185" s="85" t="s">
        <v>446</v>
      </c>
      <c r="J185" s="85" t="s">
        <v>741</v>
      </c>
      <c r="K185" s="85" t="s">
        <v>448</v>
      </c>
      <c r="L185" s="53" t="s">
        <v>216</v>
      </c>
      <c r="M185" s="53" t="s">
        <v>252</v>
      </c>
      <c r="N185" s="53"/>
      <c r="O185" s="85" t="s">
        <v>135</v>
      </c>
      <c r="P185" s="53">
        <v>1</v>
      </c>
      <c r="Q185" s="183">
        <v>5</v>
      </c>
      <c r="R185" s="84">
        <v>0.87050000000000005</v>
      </c>
      <c r="S185" s="53">
        <v>7.6</v>
      </c>
      <c r="T185" s="53"/>
      <c r="U185" s="53">
        <v>3</v>
      </c>
      <c r="V185" s="53">
        <v>480</v>
      </c>
      <c r="W185" s="53"/>
      <c r="X185" s="53"/>
      <c r="Y185" s="53"/>
      <c r="Z185" s="53"/>
      <c r="AA185" s="53"/>
      <c r="AB185" s="53"/>
      <c r="AC185" s="137" t="s">
        <v>124</v>
      </c>
      <c r="AD185" s="138" t="s">
        <v>118</v>
      </c>
      <c r="AE185" s="83">
        <v>8760</v>
      </c>
      <c r="AF185" s="139">
        <v>1</v>
      </c>
      <c r="AG185" s="139">
        <f t="shared" si="35"/>
        <v>0.82191780821917804</v>
      </c>
      <c r="AH185" s="139">
        <v>0.6</v>
      </c>
      <c r="AI185" s="139">
        <v>0.6</v>
      </c>
      <c r="AJ185" s="83">
        <f t="shared" si="25"/>
        <v>2880</v>
      </c>
      <c r="AK185" s="83">
        <f t="shared" si="26"/>
        <v>4320</v>
      </c>
      <c r="AL185" s="104">
        <f t="shared" si="27"/>
        <v>2.5709362435381959</v>
      </c>
      <c r="AM185" s="104">
        <f t="shared" si="28"/>
        <v>2.5709362435381959</v>
      </c>
      <c r="AN185" s="83">
        <f t="shared" si="29"/>
        <v>7404.2963813900042</v>
      </c>
      <c r="AO185" s="83">
        <f t="shared" si="30"/>
        <v>11106.444572085007</v>
      </c>
      <c r="AP185" s="182">
        <f t="shared" si="31"/>
        <v>25.264495854796088</v>
      </c>
      <c r="AQ185" s="182">
        <f t="shared" si="32"/>
        <v>37.896743782194136</v>
      </c>
      <c r="AR185" s="85"/>
      <c r="AS185" s="85"/>
      <c r="AT185" s="53"/>
      <c r="AU185" s="53"/>
      <c r="AV185" s="53"/>
      <c r="AW185" s="53"/>
      <c r="AX185" s="53"/>
      <c r="AY185" s="53"/>
      <c r="AZ185" s="53"/>
      <c r="BA185" s="53"/>
      <c r="BB185" s="53"/>
      <c r="BC185" s="111">
        <f t="shared" si="33"/>
        <v>7404.2963813900042</v>
      </c>
      <c r="BD185" s="111">
        <f t="shared" si="34"/>
        <v>11106.444572085007</v>
      </c>
    </row>
    <row r="186" spans="1:56" ht="15.75" x14ac:dyDescent="0.25">
      <c r="A186" s="53">
        <v>176</v>
      </c>
      <c r="B186" s="53"/>
      <c r="C186" s="53"/>
      <c r="D186" s="53" t="s">
        <v>135</v>
      </c>
      <c r="E186" s="53"/>
      <c r="F186" s="53"/>
      <c r="G186" s="53" t="s">
        <v>290</v>
      </c>
      <c r="H186" s="53" t="s">
        <v>291</v>
      </c>
      <c r="I186" s="85" t="s">
        <v>446</v>
      </c>
      <c r="J186" s="85" t="s">
        <v>669</v>
      </c>
      <c r="K186" s="85" t="s">
        <v>365</v>
      </c>
      <c r="L186" s="53" t="s">
        <v>216</v>
      </c>
      <c r="M186" s="53" t="s">
        <v>295</v>
      </c>
      <c r="N186" s="53"/>
      <c r="O186" s="85" t="s">
        <v>686</v>
      </c>
      <c r="P186" s="53">
        <v>1</v>
      </c>
      <c r="Q186" s="183">
        <v>7.5</v>
      </c>
      <c r="R186" s="84">
        <v>0.87050000000000005</v>
      </c>
      <c r="S186" s="53">
        <v>6</v>
      </c>
      <c r="T186" s="53"/>
      <c r="U186" s="53">
        <v>3</v>
      </c>
      <c r="V186" s="53">
        <v>480</v>
      </c>
      <c r="W186" s="53"/>
      <c r="X186" s="53"/>
      <c r="Y186" s="53"/>
      <c r="Z186" s="53"/>
      <c r="AA186" s="53"/>
      <c r="AB186" s="53"/>
      <c r="AC186" s="137" t="s">
        <v>124</v>
      </c>
      <c r="AD186" s="138" t="s">
        <v>118</v>
      </c>
      <c r="AE186" s="83">
        <v>8760</v>
      </c>
      <c r="AF186" s="139">
        <v>1</v>
      </c>
      <c r="AG186" s="139">
        <f t="shared" si="35"/>
        <v>0.82191780821917804</v>
      </c>
      <c r="AH186" s="139">
        <v>0.6</v>
      </c>
      <c r="AI186" s="139">
        <v>0.6</v>
      </c>
      <c r="AJ186" s="83">
        <f t="shared" si="25"/>
        <v>2880</v>
      </c>
      <c r="AK186" s="83">
        <f t="shared" si="26"/>
        <v>4320</v>
      </c>
      <c r="AL186" s="104">
        <f t="shared" si="27"/>
        <v>3.8564043653072941</v>
      </c>
      <c r="AM186" s="104">
        <f t="shared" si="28"/>
        <v>3.8564043653072941</v>
      </c>
      <c r="AN186" s="83">
        <f t="shared" si="29"/>
        <v>11106.444572085007</v>
      </c>
      <c r="AO186" s="83">
        <f t="shared" si="30"/>
        <v>16659.666858127512</v>
      </c>
      <c r="AP186" s="182">
        <f t="shared" si="31"/>
        <v>37.896743782194136</v>
      </c>
      <c r="AQ186" s="182">
        <f t="shared" si="32"/>
        <v>56.845115673291204</v>
      </c>
      <c r="AR186" s="85"/>
      <c r="AS186" s="85"/>
      <c r="AT186" s="53"/>
      <c r="AU186" s="53"/>
      <c r="AV186" s="53"/>
      <c r="AW186" s="53"/>
      <c r="AX186" s="53"/>
      <c r="AY186" s="53"/>
      <c r="AZ186" s="53"/>
      <c r="BA186" s="53"/>
      <c r="BB186" s="53"/>
      <c r="BC186" s="111">
        <f t="shared" si="33"/>
        <v>11106.444572085007</v>
      </c>
      <c r="BD186" s="111">
        <f t="shared" si="34"/>
        <v>16659.666858127512</v>
      </c>
    </row>
    <row r="187" spans="1:56" ht="15.75" x14ac:dyDescent="0.25">
      <c r="A187" s="53">
        <v>177</v>
      </c>
      <c r="B187" s="53"/>
      <c r="C187" s="53"/>
      <c r="D187" s="53" t="s">
        <v>135</v>
      </c>
      <c r="E187" s="53"/>
      <c r="F187" s="53"/>
      <c r="G187" s="53" t="s">
        <v>290</v>
      </c>
      <c r="H187" s="53" t="s">
        <v>291</v>
      </c>
      <c r="I187" s="85" t="s">
        <v>446</v>
      </c>
      <c r="J187" s="85" t="s">
        <v>890</v>
      </c>
      <c r="K187" s="85" t="s">
        <v>365</v>
      </c>
      <c r="L187" s="53" t="s">
        <v>216</v>
      </c>
      <c r="M187" s="53" t="s">
        <v>295</v>
      </c>
      <c r="N187" s="53"/>
      <c r="O187" s="85" t="s">
        <v>891</v>
      </c>
      <c r="P187" s="53">
        <v>1</v>
      </c>
      <c r="Q187" s="183">
        <v>1</v>
      </c>
      <c r="R187" s="84">
        <v>0.87050000000000005</v>
      </c>
      <c r="S187" s="53">
        <v>4</v>
      </c>
      <c r="T187" s="53"/>
      <c r="U187" s="53">
        <v>3</v>
      </c>
      <c r="V187" s="53">
        <v>480</v>
      </c>
      <c r="W187" s="53"/>
      <c r="X187" s="53"/>
      <c r="Y187" s="53"/>
      <c r="Z187" s="53"/>
      <c r="AA187" s="53"/>
      <c r="AB187" s="53"/>
      <c r="AC187" s="137" t="s">
        <v>124</v>
      </c>
      <c r="AD187" s="138" t="s">
        <v>118</v>
      </c>
      <c r="AE187" s="83">
        <v>8760</v>
      </c>
      <c r="AF187" s="139">
        <v>1</v>
      </c>
      <c r="AG187" s="139">
        <f t="shared" si="35"/>
        <v>0.82191780821917804</v>
      </c>
      <c r="AH187" s="139">
        <v>0.6</v>
      </c>
      <c r="AI187" s="139">
        <v>0.6</v>
      </c>
      <c r="AJ187" s="83">
        <f t="shared" si="25"/>
        <v>2880</v>
      </c>
      <c r="AK187" s="83">
        <f t="shared" si="26"/>
        <v>4320</v>
      </c>
      <c r="AL187" s="104">
        <f t="shared" si="27"/>
        <v>0.51418724870763921</v>
      </c>
      <c r="AM187" s="104">
        <f t="shared" si="28"/>
        <v>0.51418724870763921</v>
      </c>
      <c r="AN187" s="83">
        <f t="shared" si="29"/>
        <v>1480.8592762780008</v>
      </c>
      <c r="AO187" s="83">
        <f t="shared" si="30"/>
        <v>2221.2889144170013</v>
      </c>
      <c r="AP187" s="182">
        <f t="shared" si="31"/>
        <v>5.0528991709592175</v>
      </c>
      <c r="AQ187" s="182">
        <f t="shared" si="32"/>
        <v>7.5793487564388258</v>
      </c>
      <c r="AR187" s="85"/>
      <c r="AS187" s="85"/>
      <c r="AT187" s="53"/>
      <c r="AU187" s="53"/>
      <c r="AV187" s="53"/>
      <c r="AW187" s="53"/>
      <c r="AX187" s="53"/>
      <c r="AY187" s="53"/>
      <c r="AZ187" s="53"/>
      <c r="BA187" s="53"/>
      <c r="BB187" s="53"/>
      <c r="BC187" s="111">
        <f t="shared" si="33"/>
        <v>1480.8592762780008</v>
      </c>
      <c r="BD187" s="111">
        <f t="shared" si="34"/>
        <v>2221.2889144170013</v>
      </c>
    </row>
    <row r="188" spans="1:56" ht="15.75" x14ac:dyDescent="0.25">
      <c r="A188" s="53">
        <v>178</v>
      </c>
      <c r="B188" s="53"/>
      <c r="C188" s="53"/>
      <c r="D188" s="53" t="s">
        <v>135</v>
      </c>
      <c r="E188" s="53"/>
      <c r="F188" s="53"/>
      <c r="G188" s="53" t="s">
        <v>290</v>
      </c>
      <c r="H188" s="53" t="s">
        <v>291</v>
      </c>
      <c r="I188" s="85" t="s">
        <v>446</v>
      </c>
      <c r="J188" s="85" t="s">
        <v>890</v>
      </c>
      <c r="K188" s="85" t="s">
        <v>365</v>
      </c>
      <c r="L188" s="53" t="s">
        <v>216</v>
      </c>
      <c r="M188" s="53" t="s">
        <v>295</v>
      </c>
      <c r="N188" s="53"/>
      <c r="O188" s="85" t="s">
        <v>892</v>
      </c>
      <c r="P188" s="53">
        <v>1</v>
      </c>
      <c r="Q188" s="183">
        <v>1</v>
      </c>
      <c r="R188" s="84">
        <v>0.87050000000000005</v>
      </c>
      <c r="S188" s="53">
        <v>4</v>
      </c>
      <c r="T188" s="53"/>
      <c r="U188" s="53">
        <v>3</v>
      </c>
      <c r="V188" s="53">
        <v>480</v>
      </c>
      <c r="W188" s="53"/>
      <c r="X188" s="53"/>
      <c r="Y188" s="53"/>
      <c r="Z188" s="53"/>
      <c r="AA188" s="53"/>
      <c r="AB188" s="53"/>
      <c r="AC188" s="137" t="s">
        <v>124</v>
      </c>
      <c r="AD188" s="138" t="s">
        <v>118</v>
      </c>
      <c r="AE188" s="83">
        <v>8760</v>
      </c>
      <c r="AF188" s="139">
        <v>1</v>
      </c>
      <c r="AG188" s="139">
        <f t="shared" si="35"/>
        <v>0.82191780821917804</v>
      </c>
      <c r="AH188" s="139">
        <v>0.6</v>
      </c>
      <c r="AI188" s="139">
        <v>0.6</v>
      </c>
      <c r="AJ188" s="83">
        <f t="shared" si="25"/>
        <v>2880</v>
      </c>
      <c r="AK188" s="83">
        <f t="shared" si="26"/>
        <v>4320</v>
      </c>
      <c r="AL188" s="104">
        <f t="shared" si="27"/>
        <v>0.51418724870763921</v>
      </c>
      <c r="AM188" s="104">
        <f t="shared" si="28"/>
        <v>0.51418724870763921</v>
      </c>
      <c r="AN188" s="83">
        <f t="shared" si="29"/>
        <v>1480.8592762780008</v>
      </c>
      <c r="AO188" s="83">
        <f t="shared" si="30"/>
        <v>2221.2889144170013</v>
      </c>
      <c r="AP188" s="182">
        <f t="shared" si="31"/>
        <v>5.0528991709592175</v>
      </c>
      <c r="AQ188" s="182">
        <f t="shared" si="32"/>
        <v>7.5793487564388258</v>
      </c>
      <c r="AR188" s="85"/>
      <c r="AS188" s="85"/>
      <c r="AT188" s="53"/>
      <c r="AU188" s="53"/>
      <c r="AV188" s="53"/>
      <c r="AW188" s="53"/>
      <c r="AX188" s="53"/>
      <c r="AY188" s="53"/>
      <c r="AZ188" s="53"/>
      <c r="BA188" s="53"/>
      <c r="BB188" s="53"/>
      <c r="BC188" s="111">
        <f t="shared" si="33"/>
        <v>1480.8592762780008</v>
      </c>
      <c r="BD188" s="111">
        <f t="shared" si="34"/>
        <v>2221.2889144170013</v>
      </c>
    </row>
    <row r="189" spans="1:56" ht="15.75" x14ac:dyDescent="0.25">
      <c r="A189" s="53">
        <v>179</v>
      </c>
      <c r="B189" s="53"/>
      <c r="C189" s="53"/>
      <c r="D189" s="53" t="s">
        <v>135</v>
      </c>
      <c r="E189" s="53"/>
      <c r="F189" s="53"/>
      <c r="G189" s="53" t="s">
        <v>290</v>
      </c>
      <c r="H189" s="53" t="s">
        <v>291</v>
      </c>
      <c r="I189" s="85" t="s">
        <v>446</v>
      </c>
      <c r="J189" s="85" t="s">
        <v>890</v>
      </c>
      <c r="K189" s="85" t="s">
        <v>365</v>
      </c>
      <c r="L189" s="53" t="s">
        <v>216</v>
      </c>
      <c r="M189" s="53" t="s">
        <v>295</v>
      </c>
      <c r="N189" s="53"/>
      <c r="O189" s="85" t="s">
        <v>893</v>
      </c>
      <c r="P189" s="53">
        <v>1</v>
      </c>
      <c r="Q189" s="183">
        <v>1</v>
      </c>
      <c r="R189" s="84">
        <v>0.87050000000000005</v>
      </c>
      <c r="S189" s="53">
        <v>4</v>
      </c>
      <c r="T189" s="53"/>
      <c r="U189" s="53">
        <v>3</v>
      </c>
      <c r="V189" s="53">
        <v>480</v>
      </c>
      <c r="W189" s="53"/>
      <c r="X189" s="53"/>
      <c r="Y189" s="53"/>
      <c r="Z189" s="53"/>
      <c r="AA189" s="53"/>
      <c r="AB189" s="53"/>
      <c r="AC189" s="137" t="s">
        <v>124</v>
      </c>
      <c r="AD189" s="138" t="s">
        <v>118</v>
      </c>
      <c r="AE189" s="83">
        <v>8760</v>
      </c>
      <c r="AF189" s="139">
        <v>1</v>
      </c>
      <c r="AG189" s="139">
        <f t="shared" si="35"/>
        <v>0.82191780821917804</v>
      </c>
      <c r="AH189" s="139">
        <v>0.6</v>
      </c>
      <c r="AI189" s="139">
        <v>0.6</v>
      </c>
      <c r="AJ189" s="83">
        <f t="shared" si="25"/>
        <v>2880</v>
      </c>
      <c r="AK189" s="83">
        <f t="shared" si="26"/>
        <v>4320</v>
      </c>
      <c r="AL189" s="104">
        <f t="shared" si="27"/>
        <v>0.51418724870763921</v>
      </c>
      <c r="AM189" s="104">
        <f t="shared" si="28"/>
        <v>0.51418724870763921</v>
      </c>
      <c r="AN189" s="83">
        <f t="shared" si="29"/>
        <v>1480.8592762780008</v>
      </c>
      <c r="AO189" s="83">
        <f t="shared" si="30"/>
        <v>2221.2889144170013</v>
      </c>
      <c r="AP189" s="182">
        <f t="shared" si="31"/>
        <v>5.0528991709592175</v>
      </c>
      <c r="AQ189" s="182">
        <f t="shared" si="32"/>
        <v>7.5793487564388258</v>
      </c>
      <c r="AR189" s="85"/>
      <c r="AS189" s="85"/>
      <c r="AT189" s="53"/>
      <c r="AU189" s="53"/>
      <c r="AV189" s="53"/>
      <c r="AW189" s="53"/>
      <c r="AX189" s="53"/>
      <c r="AY189" s="53"/>
      <c r="AZ189" s="53"/>
      <c r="BA189" s="53"/>
      <c r="BB189" s="53"/>
      <c r="BC189" s="111">
        <f t="shared" si="33"/>
        <v>1480.8592762780008</v>
      </c>
      <c r="BD189" s="111">
        <f t="shared" si="34"/>
        <v>2221.2889144170013</v>
      </c>
    </row>
    <row r="190" spans="1:56" ht="15.75" x14ac:dyDescent="0.25">
      <c r="A190" s="53">
        <v>180</v>
      </c>
      <c r="B190" s="53"/>
      <c r="C190" s="53"/>
      <c r="D190" s="53" t="s">
        <v>135</v>
      </c>
      <c r="E190" s="53"/>
      <c r="F190" s="53"/>
      <c r="G190" s="53" t="s">
        <v>290</v>
      </c>
      <c r="H190" s="53" t="s">
        <v>291</v>
      </c>
      <c r="I190" s="85" t="s">
        <v>446</v>
      </c>
      <c r="J190" s="85" t="s">
        <v>671</v>
      </c>
      <c r="K190" s="85" t="s">
        <v>365</v>
      </c>
      <c r="L190" s="53" t="s">
        <v>216</v>
      </c>
      <c r="M190" s="53" t="s">
        <v>295</v>
      </c>
      <c r="N190" s="53"/>
      <c r="O190" s="85" t="s">
        <v>687</v>
      </c>
      <c r="P190" s="53">
        <v>1</v>
      </c>
      <c r="Q190" s="183">
        <v>7.5</v>
      </c>
      <c r="R190" s="84">
        <v>0.87050000000000005</v>
      </c>
      <c r="S190" s="53">
        <v>10</v>
      </c>
      <c r="T190" s="53"/>
      <c r="U190" s="53">
        <v>3</v>
      </c>
      <c r="V190" s="53">
        <v>480</v>
      </c>
      <c r="W190" s="53"/>
      <c r="X190" s="53"/>
      <c r="Y190" s="53"/>
      <c r="Z190" s="53"/>
      <c r="AA190" s="53"/>
      <c r="AB190" s="53"/>
      <c r="AC190" s="137" t="s">
        <v>124</v>
      </c>
      <c r="AD190" s="138" t="s">
        <v>118</v>
      </c>
      <c r="AE190" s="83">
        <v>8760</v>
      </c>
      <c r="AF190" s="139">
        <v>1</v>
      </c>
      <c r="AG190" s="139">
        <f t="shared" si="35"/>
        <v>0.82191780821917804</v>
      </c>
      <c r="AH190" s="139">
        <v>0.6</v>
      </c>
      <c r="AI190" s="139">
        <v>0.6</v>
      </c>
      <c r="AJ190" s="83">
        <f t="shared" si="25"/>
        <v>2880</v>
      </c>
      <c r="AK190" s="83">
        <f t="shared" si="26"/>
        <v>4320</v>
      </c>
      <c r="AL190" s="104">
        <f t="shared" si="27"/>
        <v>3.8564043653072941</v>
      </c>
      <c r="AM190" s="104">
        <f t="shared" si="28"/>
        <v>3.8564043653072941</v>
      </c>
      <c r="AN190" s="83">
        <f t="shared" si="29"/>
        <v>11106.444572085007</v>
      </c>
      <c r="AO190" s="83">
        <f t="shared" si="30"/>
        <v>16659.666858127512</v>
      </c>
      <c r="AP190" s="182">
        <f t="shared" si="31"/>
        <v>37.896743782194136</v>
      </c>
      <c r="AQ190" s="182">
        <f t="shared" si="32"/>
        <v>56.845115673291204</v>
      </c>
      <c r="AR190" s="85"/>
      <c r="AS190" s="85"/>
      <c r="AT190" s="53"/>
      <c r="AU190" s="53"/>
      <c r="AV190" s="53"/>
      <c r="AW190" s="53"/>
      <c r="AX190" s="53"/>
      <c r="AY190" s="53"/>
      <c r="AZ190" s="53"/>
      <c r="BA190" s="53"/>
      <c r="BB190" s="53"/>
      <c r="BC190" s="111">
        <f t="shared" si="33"/>
        <v>11106.444572085007</v>
      </c>
      <c r="BD190" s="111">
        <f t="shared" si="34"/>
        <v>16659.666858127512</v>
      </c>
    </row>
    <row r="191" spans="1:56" ht="15.75" x14ac:dyDescent="0.25">
      <c r="A191" s="53">
        <v>181</v>
      </c>
      <c r="B191" s="53"/>
      <c r="C191" s="53"/>
      <c r="D191" s="53" t="s">
        <v>135</v>
      </c>
      <c r="E191" s="53"/>
      <c r="F191" s="53"/>
      <c r="G191" s="53" t="s">
        <v>290</v>
      </c>
      <c r="H191" s="53" t="s">
        <v>291</v>
      </c>
      <c r="I191" s="85" t="s">
        <v>446</v>
      </c>
      <c r="J191" s="85" t="s">
        <v>449</v>
      </c>
      <c r="K191" s="85" t="s">
        <v>448</v>
      </c>
      <c r="L191" s="53" t="s">
        <v>216</v>
      </c>
      <c r="M191" s="53" t="s">
        <v>252</v>
      </c>
      <c r="N191" s="53"/>
      <c r="O191" s="85" t="s">
        <v>450</v>
      </c>
      <c r="P191" s="53">
        <v>1</v>
      </c>
      <c r="Q191" s="183">
        <v>40</v>
      </c>
      <c r="R191" s="84">
        <v>0.89250000000000007</v>
      </c>
      <c r="S191" s="53">
        <v>52</v>
      </c>
      <c r="T191" s="53"/>
      <c r="U191" s="53">
        <v>3</v>
      </c>
      <c r="V191" s="53">
        <v>480</v>
      </c>
      <c r="W191" s="53"/>
      <c r="X191" s="53"/>
      <c r="Y191" s="53"/>
      <c r="Z191" s="53"/>
      <c r="AA191" s="53"/>
      <c r="AB191" s="53"/>
      <c r="AC191" s="137" t="s">
        <v>124</v>
      </c>
      <c r="AD191" s="138" t="s">
        <v>118</v>
      </c>
      <c r="AE191" s="83">
        <v>8760</v>
      </c>
      <c r="AF191" s="139">
        <v>1</v>
      </c>
      <c r="AG191" s="139">
        <f t="shared" si="35"/>
        <v>0.82191780821917804</v>
      </c>
      <c r="AH191" s="139">
        <v>0.6</v>
      </c>
      <c r="AI191" s="139">
        <v>0.6</v>
      </c>
      <c r="AJ191" s="83">
        <f t="shared" si="25"/>
        <v>2880</v>
      </c>
      <c r="AK191" s="83">
        <f t="shared" si="26"/>
        <v>4320</v>
      </c>
      <c r="AL191" s="104">
        <f t="shared" si="27"/>
        <v>20.060504201680669</v>
      </c>
      <c r="AM191" s="104">
        <f t="shared" si="28"/>
        <v>20.060504201680669</v>
      </c>
      <c r="AN191" s="83">
        <f t="shared" si="29"/>
        <v>57774.252100840327</v>
      </c>
      <c r="AO191" s="83">
        <f t="shared" si="30"/>
        <v>86661.378151260491</v>
      </c>
      <c r="AP191" s="182">
        <f t="shared" si="31"/>
        <v>197.13383656336131</v>
      </c>
      <c r="AQ191" s="182">
        <f t="shared" si="32"/>
        <v>295.70075484504201</v>
      </c>
      <c r="AR191" s="85"/>
      <c r="AS191" s="85"/>
      <c r="AT191" s="53"/>
      <c r="AU191" s="53"/>
      <c r="AV191" s="53"/>
      <c r="AW191" s="53"/>
      <c r="AX191" s="53"/>
      <c r="AY191" s="53"/>
      <c r="AZ191" s="53"/>
      <c r="BA191" s="53"/>
      <c r="BB191" s="53"/>
      <c r="BC191" s="111">
        <f t="shared" si="33"/>
        <v>57774.252100840327</v>
      </c>
      <c r="BD191" s="111">
        <f t="shared" si="34"/>
        <v>86661.378151260491</v>
      </c>
    </row>
    <row r="192" spans="1:56" ht="15.75" x14ac:dyDescent="0.25">
      <c r="A192" s="53">
        <v>182</v>
      </c>
      <c r="B192" s="53"/>
      <c r="C192" s="53"/>
      <c r="D192" s="53" t="s">
        <v>135</v>
      </c>
      <c r="E192" s="53"/>
      <c r="F192" s="53"/>
      <c r="G192" s="53" t="s">
        <v>290</v>
      </c>
      <c r="H192" s="53" t="s">
        <v>291</v>
      </c>
      <c r="I192" s="85" t="s">
        <v>446</v>
      </c>
      <c r="J192" s="85" t="s">
        <v>755</v>
      </c>
      <c r="K192" s="85" t="s">
        <v>360</v>
      </c>
      <c r="L192" s="53" t="s">
        <v>216</v>
      </c>
      <c r="M192" s="53" t="s">
        <v>361</v>
      </c>
      <c r="N192" s="53"/>
      <c r="O192" s="85" t="s">
        <v>450</v>
      </c>
      <c r="P192" s="53">
        <v>1</v>
      </c>
      <c r="Q192" s="183">
        <v>3</v>
      </c>
      <c r="R192" s="84">
        <v>0.87050000000000005</v>
      </c>
      <c r="S192" s="53">
        <v>4.5</v>
      </c>
      <c r="T192" s="53"/>
      <c r="U192" s="53">
        <v>3</v>
      </c>
      <c r="V192" s="53">
        <v>480</v>
      </c>
      <c r="W192" s="53"/>
      <c r="X192" s="53"/>
      <c r="Y192" s="53"/>
      <c r="Z192" s="53"/>
      <c r="AA192" s="53"/>
      <c r="AB192" s="53"/>
      <c r="AC192" s="137" t="s">
        <v>124</v>
      </c>
      <c r="AD192" s="138" t="s">
        <v>118</v>
      </c>
      <c r="AE192" s="83">
        <v>8760</v>
      </c>
      <c r="AF192" s="139">
        <v>1</v>
      </c>
      <c r="AG192" s="139">
        <f t="shared" si="35"/>
        <v>0.82191780821917804</v>
      </c>
      <c r="AH192" s="139">
        <v>0.75</v>
      </c>
      <c r="AI192" s="139">
        <v>0.75</v>
      </c>
      <c r="AJ192" s="83">
        <f t="shared" si="25"/>
        <v>2880</v>
      </c>
      <c r="AK192" s="83">
        <f t="shared" si="26"/>
        <v>4320</v>
      </c>
      <c r="AL192" s="104">
        <f t="shared" si="27"/>
        <v>1.9282021826536473</v>
      </c>
      <c r="AM192" s="104">
        <f t="shared" si="28"/>
        <v>1.9282021826536473</v>
      </c>
      <c r="AN192" s="83">
        <f t="shared" si="29"/>
        <v>5553.2222860425045</v>
      </c>
      <c r="AO192" s="83">
        <f t="shared" si="30"/>
        <v>8329.8334290637558</v>
      </c>
      <c r="AP192" s="182">
        <f t="shared" si="31"/>
        <v>18.948371891097068</v>
      </c>
      <c r="AQ192" s="182">
        <f t="shared" si="32"/>
        <v>28.422557836645602</v>
      </c>
      <c r="AR192" s="85"/>
      <c r="AS192" s="85"/>
      <c r="AT192" s="53"/>
      <c r="AU192" s="53"/>
      <c r="AV192" s="53"/>
      <c r="AW192" s="53"/>
      <c r="AX192" s="53"/>
      <c r="AY192" s="53"/>
      <c r="AZ192" s="53"/>
      <c r="BA192" s="53"/>
      <c r="BB192" s="53"/>
      <c r="BC192" s="111">
        <f t="shared" si="33"/>
        <v>5553.2222860425045</v>
      </c>
      <c r="BD192" s="111">
        <f t="shared" si="34"/>
        <v>8329.8334290637558</v>
      </c>
    </row>
    <row r="193" spans="1:56" ht="15.75" x14ac:dyDescent="0.25">
      <c r="A193" s="53">
        <v>183</v>
      </c>
      <c r="B193" s="53"/>
      <c r="C193" s="53"/>
      <c r="D193" s="53" t="s">
        <v>135</v>
      </c>
      <c r="E193" s="53"/>
      <c r="F193" s="53"/>
      <c r="G193" s="53" t="s">
        <v>290</v>
      </c>
      <c r="H193" s="53" t="s">
        <v>291</v>
      </c>
      <c r="I193" s="85" t="s">
        <v>630</v>
      </c>
      <c r="J193" s="85" t="s">
        <v>664</v>
      </c>
      <c r="K193" s="85" t="s">
        <v>294</v>
      </c>
      <c r="L193" s="53" t="s">
        <v>216</v>
      </c>
      <c r="M193" s="53" t="s">
        <v>295</v>
      </c>
      <c r="N193" s="53"/>
      <c r="O193" s="85" t="s">
        <v>135</v>
      </c>
      <c r="P193" s="53">
        <v>1</v>
      </c>
      <c r="Q193" s="183">
        <v>10</v>
      </c>
      <c r="R193" s="84">
        <v>0.87050000000000005</v>
      </c>
      <c r="S193" s="53">
        <v>14</v>
      </c>
      <c r="T193" s="53"/>
      <c r="U193" s="53">
        <v>3</v>
      </c>
      <c r="V193" s="53">
        <v>480</v>
      </c>
      <c r="W193" s="53"/>
      <c r="X193" s="53"/>
      <c r="Y193" s="53"/>
      <c r="Z193" s="53"/>
      <c r="AA193" s="53"/>
      <c r="AB193" s="53"/>
      <c r="AC193" s="137" t="s">
        <v>124</v>
      </c>
      <c r="AD193" s="138" t="s">
        <v>118</v>
      </c>
      <c r="AE193" s="83">
        <v>8760</v>
      </c>
      <c r="AF193" s="139">
        <v>1</v>
      </c>
      <c r="AG193" s="139">
        <f t="shared" si="35"/>
        <v>0.82191780821917804</v>
      </c>
      <c r="AH193" s="139">
        <v>0.6</v>
      </c>
      <c r="AI193" s="139">
        <v>0.6</v>
      </c>
      <c r="AJ193" s="83">
        <f t="shared" si="25"/>
        <v>2880</v>
      </c>
      <c r="AK193" s="83">
        <f t="shared" si="26"/>
        <v>4320</v>
      </c>
      <c r="AL193" s="104">
        <f t="shared" si="27"/>
        <v>5.1418724870763919</v>
      </c>
      <c r="AM193" s="104">
        <f t="shared" si="28"/>
        <v>5.1418724870763919</v>
      </c>
      <c r="AN193" s="83">
        <f t="shared" si="29"/>
        <v>14808.592762780008</v>
      </c>
      <c r="AO193" s="83">
        <f t="shared" si="30"/>
        <v>22212.889144170014</v>
      </c>
      <c r="AP193" s="182">
        <f t="shared" si="31"/>
        <v>50.528991709592177</v>
      </c>
      <c r="AQ193" s="182">
        <f t="shared" si="32"/>
        <v>75.793487564388272</v>
      </c>
      <c r="AR193" s="85"/>
      <c r="AS193" s="85"/>
      <c r="AT193" s="53"/>
      <c r="AU193" s="53"/>
      <c r="AV193" s="53"/>
      <c r="AW193" s="53"/>
      <c r="AX193" s="53"/>
      <c r="AY193" s="53"/>
      <c r="AZ193" s="53"/>
      <c r="BA193" s="53"/>
      <c r="BB193" s="53"/>
      <c r="BC193" s="111">
        <f t="shared" si="33"/>
        <v>14808.592762780008</v>
      </c>
      <c r="BD193" s="111">
        <f t="shared" si="34"/>
        <v>22212.889144170014</v>
      </c>
    </row>
    <row r="194" spans="1:56" ht="15.75" x14ac:dyDescent="0.25">
      <c r="A194" s="53">
        <v>184</v>
      </c>
      <c r="B194" s="53"/>
      <c r="C194" s="53"/>
      <c r="D194" s="53" t="s">
        <v>135</v>
      </c>
      <c r="E194" s="53"/>
      <c r="F194" s="53"/>
      <c r="G194" s="53" t="s">
        <v>290</v>
      </c>
      <c r="H194" s="53" t="s">
        <v>291</v>
      </c>
      <c r="I194" s="85" t="s">
        <v>630</v>
      </c>
      <c r="J194" s="85" t="s">
        <v>664</v>
      </c>
      <c r="K194" s="85" t="s">
        <v>360</v>
      </c>
      <c r="L194" s="53" t="s">
        <v>216</v>
      </c>
      <c r="M194" s="53" t="s">
        <v>361</v>
      </c>
      <c r="N194" s="53"/>
      <c r="O194" s="85" t="s">
        <v>135</v>
      </c>
      <c r="P194" s="53">
        <v>1</v>
      </c>
      <c r="Q194" s="183">
        <v>3</v>
      </c>
      <c r="R194" s="84">
        <v>0.87050000000000005</v>
      </c>
      <c r="S194" s="53">
        <v>4.8</v>
      </c>
      <c r="T194" s="53"/>
      <c r="U194" s="53">
        <v>3</v>
      </c>
      <c r="V194" s="53">
        <v>480</v>
      </c>
      <c r="W194" s="53"/>
      <c r="X194" s="53"/>
      <c r="Y194" s="53"/>
      <c r="Z194" s="53"/>
      <c r="AA194" s="53"/>
      <c r="AB194" s="53"/>
      <c r="AC194" s="137" t="s">
        <v>124</v>
      </c>
      <c r="AD194" s="138" t="s">
        <v>118</v>
      </c>
      <c r="AE194" s="83">
        <v>8760</v>
      </c>
      <c r="AF194" s="139">
        <v>1</v>
      </c>
      <c r="AG194" s="139">
        <f t="shared" si="35"/>
        <v>0.82191780821917804</v>
      </c>
      <c r="AH194" s="139">
        <v>0.75</v>
      </c>
      <c r="AI194" s="139">
        <v>0.75</v>
      </c>
      <c r="AJ194" s="83">
        <f t="shared" si="25"/>
        <v>2880</v>
      </c>
      <c r="AK194" s="83">
        <f t="shared" si="26"/>
        <v>4320</v>
      </c>
      <c r="AL194" s="104">
        <f t="shared" si="27"/>
        <v>1.9282021826536473</v>
      </c>
      <c r="AM194" s="104">
        <f t="shared" si="28"/>
        <v>1.9282021826536473</v>
      </c>
      <c r="AN194" s="83">
        <f t="shared" si="29"/>
        <v>5553.2222860425045</v>
      </c>
      <c r="AO194" s="83">
        <f t="shared" si="30"/>
        <v>8329.8334290637558</v>
      </c>
      <c r="AP194" s="182">
        <f t="shared" si="31"/>
        <v>18.948371891097068</v>
      </c>
      <c r="AQ194" s="182">
        <f t="shared" si="32"/>
        <v>28.422557836645602</v>
      </c>
      <c r="AR194" s="85"/>
      <c r="AS194" s="85"/>
      <c r="AT194" s="53"/>
      <c r="AU194" s="53"/>
      <c r="AV194" s="53"/>
      <c r="AW194" s="53"/>
      <c r="AX194" s="53"/>
      <c r="AY194" s="53"/>
      <c r="AZ194" s="53"/>
      <c r="BA194" s="53"/>
      <c r="BB194" s="53"/>
      <c r="BC194" s="111">
        <f t="shared" si="33"/>
        <v>5553.2222860425045</v>
      </c>
      <c r="BD194" s="111">
        <f t="shared" si="34"/>
        <v>8329.8334290637558</v>
      </c>
    </row>
    <row r="195" spans="1:56" ht="15.75" x14ac:dyDescent="0.25">
      <c r="A195" s="53">
        <v>185</v>
      </c>
      <c r="B195" s="53"/>
      <c r="C195" s="53"/>
      <c r="D195" s="53" t="s">
        <v>135</v>
      </c>
      <c r="E195" s="53"/>
      <c r="F195" s="53"/>
      <c r="G195" s="53" t="s">
        <v>290</v>
      </c>
      <c r="H195" s="53" t="s">
        <v>291</v>
      </c>
      <c r="I195" s="85" t="s">
        <v>630</v>
      </c>
      <c r="J195" s="85" t="s">
        <v>630</v>
      </c>
      <c r="K195" s="85" t="s">
        <v>747</v>
      </c>
      <c r="L195" s="53" t="s">
        <v>216</v>
      </c>
      <c r="M195" s="53" t="s">
        <v>295</v>
      </c>
      <c r="N195" s="53"/>
      <c r="O195" s="85" t="s">
        <v>135</v>
      </c>
      <c r="P195" s="53">
        <v>1</v>
      </c>
      <c r="Q195" s="183">
        <v>3</v>
      </c>
      <c r="R195" s="84">
        <v>0.87050000000000005</v>
      </c>
      <c r="S195" s="53">
        <v>4.8</v>
      </c>
      <c r="T195" s="53"/>
      <c r="U195" s="53">
        <v>3</v>
      </c>
      <c r="V195" s="53">
        <v>480</v>
      </c>
      <c r="W195" s="53"/>
      <c r="X195" s="53"/>
      <c r="Y195" s="53"/>
      <c r="Z195" s="53"/>
      <c r="AA195" s="53"/>
      <c r="AB195" s="53"/>
      <c r="AC195" s="137" t="s">
        <v>124</v>
      </c>
      <c r="AD195" s="138" t="s">
        <v>118</v>
      </c>
      <c r="AE195" s="83">
        <v>8760</v>
      </c>
      <c r="AF195" s="139">
        <v>1</v>
      </c>
      <c r="AG195" s="139">
        <f t="shared" si="35"/>
        <v>0.82191780821917804</v>
      </c>
      <c r="AH195" s="139">
        <v>0.6</v>
      </c>
      <c r="AI195" s="139">
        <v>0.6</v>
      </c>
      <c r="AJ195" s="83">
        <f t="shared" si="25"/>
        <v>2880</v>
      </c>
      <c r="AK195" s="83">
        <f t="shared" si="26"/>
        <v>4320</v>
      </c>
      <c r="AL195" s="104">
        <f t="shared" si="27"/>
        <v>1.5425617461229177</v>
      </c>
      <c r="AM195" s="104">
        <f t="shared" si="28"/>
        <v>1.5425617461229177</v>
      </c>
      <c r="AN195" s="83">
        <f t="shared" si="29"/>
        <v>4442.5778288340034</v>
      </c>
      <c r="AO195" s="83">
        <f t="shared" si="30"/>
        <v>6663.8667432510047</v>
      </c>
      <c r="AP195" s="182">
        <f t="shared" si="31"/>
        <v>15.158697512877657</v>
      </c>
      <c r="AQ195" s="182">
        <f t="shared" si="32"/>
        <v>22.738046269316484</v>
      </c>
      <c r="AR195" s="85"/>
      <c r="AS195" s="85"/>
      <c r="AT195" s="53"/>
      <c r="AU195" s="53"/>
      <c r="AV195" s="53"/>
      <c r="AW195" s="53"/>
      <c r="AX195" s="53"/>
      <c r="AY195" s="53"/>
      <c r="AZ195" s="53"/>
      <c r="BA195" s="53"/>
      <c r="BB195" s="53"/>
      <c r="BC195" s="111">
        <f t="shared" si="33"/>
        <v>4442.5778288340034</v>
      </c>
      <c r="BD195" s="111">
        <f t="shared" si="34"/>
        <v>6663.8667432510047</v>
      </c>
    </row>
    <row r="196" spans="1:56" ht="15.75" x14ac:dyDescent="0.25">
      <c r="A196" s="53">
        <v>186</v>
      </c>
      <c r="B196" s="53"/>
      <c r="C196" s="53"/>
      <c r="D196" s="53" t="s">
        <v>135</v>
      </c>
      <c r="E196" s="53"/>
      <c r="F196" s="53"/>
      <c r="G196" s="53" t="s">
        <v>290</v>
      </c>
      <c r="H196" s="53" t="s">
        <v>291</v>
      </c>
      <c r="I196" s="85" t="s">
        <v>630</v>
      </c>
      <c r="J196" s="85" t="s">
        <v>630</v>
      </c>
      <c r="K196" s="85" t="s">
        <v>719</v>
      </c>
      <c r="L196" s="53" t="s">
        <v>216</v>
      </c>
      <c r="M196" s="53" t="s">
        <v>295</v>
      </c>
      <c r="N196" s="53"/>
      <c r="O196" s="85" t="s">
        <v>135</v>
      </c>
      <c r="P196" s="53">
        <v>1</v>
      </c>
      <c r="Q196" s="183">
        <v>3</v>
      </c>
      <c r="R196" s="84">
        <v>0.87050000000000005</v>
      </c>
      <c r="S196" s="53">
        <v>4.8</v>
      </c>
      <c r="T196" s="53"/>
      <c r="U196" s="53">
        <v>3</v>
      </c>
      <c r="V196" s="53">
        <v>480</v>
      </c>
      <c r="W196" s="53"/>
      <c r="X196" s="53"/>
      <c r="Y196" s="53"/>
      <c r="Z196" s="53"/>
      <c r="AA196" s="53"/>
      <c r="AB196" s="53"/>
      <c r="AC196" s="137" t="s">
        <v>124</v>
      </c>
      <c r="AD196" s="138" t="s">
        <v>118</v>
      </c>
      <c r="AE196" s="83">
        <v>8760</v>
      </c>
      <c r="AF196" s="139">
        <v>1</v>
      </c>
      <c r="AG196" s="139">
        <f t="shared" si="35"/>
        <v>0.82191780821917804</v>
      </c>
      <c r="AH196" s="139">
        <v>0.6</v>
      </c>
      <c r="AI196" s="139">
        <v>0.6</v>
      </c>
      <c r="AJ196" s="83">
        <f t="shared" si="25"/>
        <v>2880</v>
      </c>
      <c r="AK196" s="83">
        <f t="shared" si="26"/>
        <v>4320</v>
      </c>
      <c r="AL196" s="104">
        <f t="shared" si="27"/>
        <v>1.5425617461229177</v>
      </c>
      <c r="AM196" s="104">
        <f t="shared" si="28"/>
        <v>1.5425617461229177</v>
      </c>
      <c r="AN196" s="83">
        <f t="shared" si="29"/>
        <v>4442.5778288340034</v>
      </c>
      <c r="AO196" s="83">
        <f t="shared" si="30"/>
        <v>6663.8667432510047</v>
      </c>
      <c r="AP196" s="182">
        <f t="shared" si="31"/>
        <v>15.158697512877657</v>
      </c>
      <c r="AQ196" s="182">
        <f t="shared" si="32"/>
        <v>22.738046269316484</v>
      </c>
      <c r="AR196" s="85"/>
      <c r="AS196" s="85"/>
      <c r="AT196" s="53"/>
      <c r="AU196" s="53"/>
      <c r="AV196" s="53"/>
      <c r="AW196" s="53"/>
      <c r="AX196" s="53"/>
      <c r="AY196" s="53"/>
      <c r="AZ196" s="53"/>
      <c r="BA196" s="53"/>
      <c r="BB196" s="53"/>
      <c r="BC196" s="111">
        <f t="shared" si="33"/>
        <v>4442.5778288340034</v>
      </c>
      <c r="BD196" s="111">
        <f t="shared" si="34"/>
        <v>6663.8667432510047</v>
      </c>
    </row>
    <row r="197" spans="1:56" ht="15.75" x14ac:dyDescent="0.25">
      <c r="A197" s="53">
        <v>187</v>
      </c>
      <c r="B197" s="53"/>
      <c r="C197" s="53"/>
      <c r="D197" s="53" t="s">
        <v>135</v>
      </c>
      <c r="E197" s="53"/>
      <c r="F197" s="53"/>
      <c r="G197" s="53" t="s">
        <v>290</v>
      </c>
      <c r="H197" s="53" t="s">
        <v>291</v>
      </c>
      <c r="I197" s="85" t="s">
        <v>630</v>
      </c>
      <c r="J197" s="85" t="s">
        <v>630</v>
      </c>
      <c r="K197" s="85" t="s">
        <v>743</v>
      </c>
      <c r="L197" s="53" t="s">
        <v>216</v>
      </c>
      <c r="M197" s="53" t="s">
        <v>295</v>
      </c>
      <c r="N197" s="53"/>
      <c r="O197" s="85" t="s">
        <v>135</v>
      </c>
      <c r="P197" s="53">
        <v>1</v>
      </c>
      <c r="Q197" s="183">
        <v>3</v>
      </c>
      <c r="R197" s="84">
        <v>0.87050000000000005</v>
      </c>
      <c r="S197" s="53">
        <v>4.8</v>
      </c>
      <c r="T197" s="53"/>
      <c r="U197" s="53">
        <v>3</v>
      </c>
      <c r="V197" s="53">
        <v>480</v>
      </c>
      <c r="W197" s="53"/>
      <c r="X197" s="53"/>
      <c r="Y197" s="53"/>
      <c r="Z197" s="53"/>
      <c r="AA197" s="53"/>
      <c r="AB197" s="53"/>
      <c r="AC197" s="137" t="s">
        <v>124</v>
      </c>
      <c r="AD197" s="138" t="s">
        <v>118</v>
      </c>
      <c r="AE197" s="83">
        <v>8760</v>
      </c>
      <c r="AF197" s="139">
        <v>1</v>
      </c>
      <c r="AG197" s="139">
        <f t="shared" si="35"/>
        <v>0.82191780821917804</v>
      </c>
      <c r="AH197" s="139">
        <v>0.6</v>
      </c>
      <c r="AI197" s="139">
        <v>0.6</v>
      </c>
      <c r="AJ197" s="83">
        <f t="shared" si="25"/>
        <v>2880</v>
      </c>
      <c r="AK197" s="83">
        <f t="shared" si="26"/>
        <v>4320</v>
      </c>
      <c r="AL197" s="104">
        <f t="shared" si="27"/>
        <v>1.5425617461229177</v>
      </c>
      <c r="AM197" s="104">
        <f t="shared" si="28"/>
        <v>1.5425617461229177</v>
      </c>
      <c r="AN197" s="83">
        <f t="shared" si="29"/>
        <v>4442.5778288340034</v>
      </c>
      <c r="AO197" s="83">
        <f t="shared" si="30"/>
        <v>6663.8667432510047</v>
      </c>
      <c r="AP197" s="182">
        <f t="shared" si="31"/>
        <v>15.158697512877657</v>
      </c>
      <c r="AQ197" s="182">
        <f t="shared" si="32"/>
        <v>22.738046269316484</v>
      </c>
      <c r="AR197" s="85"/>
      <c r="AS197" s="85"/>
      <c r="AT197" s="53"/>
      <c r="AU197" s="53"/>
      <c r="AV197" s="53"/>
      <c r="AW197" s="53"/>
      <c r="AX197" s="53"/>
      <c r="AY197" s="53"/>
      <c r="AZ197" s="53"/>
      <c r="BA197" s="53"/>
      <c r="BB197" s="53"/>
      <c r="BC197" s="111">
        <f t="shared" si="33"/>
        <v>4442.5778288340034</v>
      </c>
      <c r="BD197" s="111">
        <f t="shared" si="34"/>
        <v>6663.8667432510047</v>
      </c>
    </row>
    <row r="198" spans="1:56" ht="15.75" x14ac:dyDescent="0.25">
      <c r="A198" s="53">
        <v>188</v>
      </c>
      <c r="B198" s="53"/>
      <c r="C198" s="53"/>
      <c r="D198" s="53" t="s">
        <v>135</v>
      </c>
      <c r="E198" s="53"/>
      <c r="F198" s="53"/>
      <c r="G198" s="53" t="s">
        <v>290</v>
      </c>
      <c r="H198" s="53" t="s">
        <v>291</v>
      </c>
      <c r="I198" s="85" t="s">
        <v>630</v>
      </c>
      <c r="J198" s="85" t="s">
        <v>630</v>
      </c>
      <c r="K198" s="85" t="s">
        <v>744</v>
      </c>
      <c r="L198" s="53" t="s">
        <v>216</v>
      </c>
      <c r="M198" s="53" t="s">
        <v>295</v>
      </c>
      <c r="N198" s="53"/>
      <c r="O198" s="85" t="s">
        <v>135</v>
      </c>
      <c r="P198" s="53">
        <v>1</v>
      </c>
      <c r="Q198" s="183">
        <v>3</v>
      </c>
      <c r="R198" s="84">
        <v>0.87050000000000005</v>
      </c>
      <c r="S198" s="53">
        <v>4.8</v>
      </c>
      <c r="T198" s="53"/>
      <c r="U198" s="53">
        <v>3</v>
      </c>
      <c r="V198" s="53">
        <v>480</v>
      </c>
      <c r="W198" s="53"/>
      <c r="X198" s="53"/>
      <c r="Y198" s="53"/>
      <c r="Z198" s="53"/>
      <c r="AA198" s="53"/>
      <c r="AB198" s="53"/>
      <c r="AC198" s="137" t="s">
        <v>124</v>
      </c>
      <c r="AD198" s="138" t="s">
        <v>118</v>
      </c>
      <c r="AE198" s="83">
        <v>8760</v>
      </c>
      <c r="AF198" s="139">
        <v>1</v>
      </c>
      <c r="AG198" s="139">
        <f t="shared" si="35"/>
        <v>0.82191780821917804</v>
      </c>
      <c r="AH198" s="139">
        <v>0.6</v>
      </c>
      <c r="AI198" s="139">
        <v>0.6</v>
      </c>
      <c r="AJ198" s="83">
        <f t="shared" si="25"/>
        <v>2880</v>
      </c>
      <c r="AK198" s="83">
        <f t="shared" si="26"/>
        <v>4320</v>
      </c>
      <c r="AL198" s="104">
        <f t="shared" si="27"/>
        <v>1.5425617461229177</v>
      </c>
      <c r="AM198" s="104">
        <f t="shared" si="28"/>
        <v>1.5425617461229177</v>
      </c>
      <c r="AN198" s="83">
        <f t="shared" si="29"/>
        <v>4442.5778288340034</v>
      </c>
      <c r="AO198" s="83">
        <f t="shared" si="30"/>
        <v>6663.8667432510047</v>
      </c>
      <c r="AP198" s="182">
        <f t="shared" si="31"/>
        <v>15.158697512877657</v>
      </c>
      <c r="AQ198" s="182">
        <f t="shared" si="32"/>
        <v>22.738046269316484</v>
      </c>
      <c r="AR198" s="85"/>
      <c r="AS198" s="85"/>
      <c r="AT198" s="53"/>
      <c r="AU198" s="53"/>
      <c r="AV198" s="53"/>
      <c r="AW198" s="53"/>
      <c r="AX198" s="53"/>
      <c r="AY198" s="53"/>
      <c r="AZ198" s="53"/>
      <c r="BA198" s="53"/>
      <c r="BB198" s="53"/>
      <c r="BC198" s="111">
        <f t="shared" si="33"/>
        <v>4442.5778288340034</v>
      </c>
      <c r="BD198" s="111">
        <f t="shared" si="34"/>
        <v>6663.8667432510047</v>
      </c>
    </row>
    <row r="199" spans="1:56" ht="15.75" x14ac:dyDescent="0.25">
      <c r="A199" s="53">
        <v>189</v>
      </c>
      <c r="B199" s="53"/>
      <c r="C199" s="53"/>
      <c r="D199" s="53" t="s">
        <v>135</v>
      </c>
      <c r="E199" s="53"/>
      <c r="F199" s="53"/>
      <c r="G199" s="53" t="s">
        <v>290</v>
      </c>
      <c r="H199" s="53" t="s">
        <v>291</v>
      </c>
      <c r="I199" s="85" t="s">
        <v>630</v>
      </c>
      <c r="J199" s="85" t="s">
        <v>630</v>
      </c>
      <c r="K199" s="85" t="s">
        <v>745</v>
      </c>
      <c r="L199" s="53" t="s">
        <v>216</v>
      </c>
      <c r="M199" s="53" t="s">
        <v>295</v>
      </c>
      <c r="N199" s="53"/>
      <c r="O199" s="85" t="s">
        <v>135</v>
      </c>
      <c r="P199" s="53">
        <v>1</v>
      </c>
      <c r="Q199" s="183">
        <v>3</v>
      </c>
      <c r="R199" s="84">
        <v>0.87050000000000005</v>
      </c>
      <c r="S199" s="53">
        <v>4.8</v>
      </c>
      <c r="T199" s="53"/>
      <c r="U199" s="53">
        <v>3</v>
      </c>
      <c r="V199" s="53">
        <v>480</v>
      </c>
      <c r="W199" s="53"/>
      <c r="X199" s="53"/>
      <c r="Y199" s="53"/>
      <c r="Z199" s="53"/>
      <c r="AA199" s="53"/>
      <c r="AB199" s="53"/>
      <c r="AC199" s="137" t="s">
        <v>124</v>
      </c>
      <c r="AD199" s="138" t="s">
        <v>118</v>
      </c>
      <c r="AE199" s="83">
        <v>8760</v>
      </c>
      <c r="AF199" s="139">
        <v>1</v>
      </c>
      <c r="AG199" s="139">
        <f t="shared" si="35"/>
        <v>0.82191780821917804</v>
      </c>
      <c r="AH199" s="139">
        <v>0.6</v>
      </c>
      <c r="AI199" s="139">
        <v>0.6</v>
      </c>
      <c r="AJ199" s="83">
        <f t="shared" si="25"/>
        <v>2880</v>
      </c>
      <c r="AK199" s="83">
        <f t="shared" si="26"/>
        <v>4320</v>
      </c>
      <c r="AL199" s="104">
        <f t="shared" si="27"/>
        <v>1.5425617461229177</v>
      </c>
      <c r="AM199" s="104">
        <f t="shared" si="28"/>
        <v>1.5425617461229177</v>
      </c>
      <c r="AN199" s="83">
        <f t="shared" si="29"/>
        <v>4442.5778288340034</v>
      </c>
      <c r="AO199" s="83">
        <f t="shared" si="30"/>
        <v>6663.8667432510047</v>
      </c>
      <c r="AP199" s="182">
        <f t="shared" si="31"/>
        <v>15.158697512877657</v>
      </c>
      <c r="AQ199" s="182">
        <f t="shared" si="32"/>
        <v>22.738046269316484</v>
      </c>
      <c r="AR199" s="85"/>
      <c r="AS199" s="85"/>
      <c r="AT199" s="53"/>
      <c r="AU199" s="53"/>
      <c r="AV199" s="53"/>
      <c r="AW199" s="53"/>
      <c r="AX199" s="53"/>
      <c r="AY199" s="53"/>
      <c r="AZ199" s="53"/>
      <c r="BA199" s="53"/>
      <c r="BB199" s="53"/>
      <c r="BC199" s="111">
        <f t="shared" si="33"/>
        <v>4442.5778288340034</v>
      </c>
      <c r="BD199" s="111">
        <f t="shared" si="34"/>
        <v>6663.8667432510047</v>
      </c>
    </row>
    <row r="200" spans="1:56" ht="15.75" x14ac:dyDescent="0.25">
      <c r="A200" s="53">
        <v>190</v>
      </c>
      <c r="B200" s="53"/>
      <c r="C200" s="53"/>
      <c r="D200" s="53" t="s">
        <v>135</v>
      </c>
      <c r="E200" s="53"/>
      <c r="F200" s="53"/>
      <c r="G200" s="53" t="s">
        <v>290</v>
      </c>
      <c r="H200" s="53" t="s">
        <v>291</v>
      </c>
      <c r="I200" s="85" t="s">
        <v>630</v>
      </c>
      <c r="J200" s="85" t="s">
        <v>630</v>
      </c>
      <c r="K200" s="85" t="s">
        <v>746</v>
      </c>
      <c r="L200" s="53" t="s">
        <v>216</v>
      </c>
      <c r="M200" s="53" t="s">
        <v>295</v>
      </c>
      <c r="N200" s="53"/>
      <c r="O200" s="85" t="s">
        <v>135</v>
      </c>
      <c r="P200" s="53">
        <v>1</v>
      </c>
      <c r="Q200" s="183">
        <v>3</v>
      </c>
      <c r="R200" s="84">
        <v>0.87050000000000005</v>
      </c>
      <c r="S200" s="53">
        <v>4.8</v>
      </c>
      <c r="T200" s="53"/>
      <c r="U200" s="53">
        <v>3</v>
      </c>
      <c r="V200" s="53">
        <v>480</v>
      </c>
      <c r="W200" s="53"/>
      <c r="X200" s="53"/>
      <c r="Y200" s="53"/>
      <c r="Z200" s="53"/>
      <c r="AA200" s="53"/>
      <c r="AB200" s="53"/>
      <c r="AC200" s="137" t="s">
        <v>124</v>
      </c>
      <c r="AD200" s="138" t="s">
        <v>118</v>
      </c>
      <c r="AE200" s="83">
        <v>8760</v>
      </c>
      <c r="AF200" s="139">
        <v>1</v>
      </c>
      <c r="AG200" s="139">
        <f t="shared" si="35"/>
        <v>0.82191780821917804</v>
      </c>
      <c r="AH200" s="139">
        <v>0.6</v>
      </c>
      <c r="AI200" s="139">
        <v>0.6</v>
      </c>
      <c r="AJ200" s="83">
        <f t="shared" si="25"/>
        <v>2880</v>
      </c>
      <c r="AK200" s="83">
        <f t="shared" si="26"/>
        <v>4320</v>
      </c>
      <c r="AL200" s="104">
        <f t="shared" si="27"/>
        <v>1.5425617461229177</v>
      </c>
      <c r="AM200" s="104">
        <f t="shared" si="28"/>
        <v>1.5425617461229177</v>
      </c>
      <c r="AN200" s="83">
        <f t="shared" si="29"/>
        <v>4442.5778288340034</v>
      </c>
      <c r="AO200" s="83">
        <f t="shared" si="30"/>
        <v>6663.8667432510047</v>
      </c>
      <c r="AP200" s="182">
        <f t="shared" si="31"/>
        <v>15.158697512877657</v>
      </c>
      <c r="AQ200" s="182">
        <f t="shared" si="32"/>
        <v>22.738046269316484</v>
      </c>
      <c r="AR200" s="85"/>
      <c r="AS200" s="85"/>
      <c r="AT200" s="53"/>
      <c r="AU200" s="53"/>
      <c r="AV200" s="53"/>
      <c r="AW200" s="53"/>
      <c r="AX200" s="53"/>
      <c r="AY200" s="53"/>
      <c r="AZ200" s="53"/>
      <c r="BA200" s="53"/>
      <c r="BB200" s="53"/>
      <c r="BC200" s="111">
        <f t="shared" si="33"/>
        <v>4442.5778288340034</v>
      </c>
      <c r="BD200" s="111">
        <f t="shared" si="34"/>
        <v>6663.8667432510047</v>
      </c>
    </row>
    <row r="201" spans="1:56" ht="15.75" x14ac:dyDescent="0.25">
      <c r="A201" s="53">
        <v>191</v>
      </c>
      <c r="B201" s="53"/>
      <c r="C201" s="53"/>
      <c r="D201" s="53" t="s">
        <v>135</v>
      </c>
      <c r="E201" s="53"/>
      <c r="F201" s="53"/>
      <c r="G201" s="53" t="s">
        <v>290</v>
      </c>
      <c r="H201" s="53" t="s">
        <v>291</v>
      </c>
      <c r="I201" s="85" t="s">
        <v>630</v>
      </c>
      <c r="J201" s="85" t="s">
        <v>630</v>
      </c>
      <c r="K201" s="85" t="s">
        <v>799</v>
      </c>
      <c r="L201" s="53" t="s">
        <v>216</v>
      </c>
      <c r="M201" s="53" t="s">
        <v>295</v>
      </c>
      <c r="N201" s="53"/>
      <c r="O201" s="85" t="s">
        <v>135</v>
      </c>
      <c r="P201" s="53">
        <v>1</v>
      </c>
      <c r="Q201" s="183">
        <v>3</v>
      </c>
      <c r="R201" s="84">
        <v>0.87050000000000005</v>
      </c>
      <c r="S201" s="53">
        <v>4.8</v>
      </c>
      <c r="T201" s="53"/>
      <c r="U201" s="53">
        <v>3</v>
      </c>
      <c r="V201" s="53">
        <v>480</v>
      </c>
      <c r="W201" s="53"/>
      <c r="X201" s="53"/>
      <c r="Y201" s="53"/>
      <c r="Z201" s="53"/>
      <c r="AA201" s="53"/>
      <c r="AB201" s="53"/>
      <c r="AC201" s="137" t="s">
        <v>124</v>
      </c>
      <c r="AD201" s="138" t="s">
        <v>118</v>
      </c>
      <c r="AE201" s="83">
        <v>8760</v>
      </c>
      <c r="AF201" s="139">
        <v>1</v>
      </c>
      <c r="AG201" s="139">
        <f t="shared" si="35"/>
        <v>0.82191780821917804</v>
      </c>
      <c r="AH201" s="139">
        <v>0.6</v>
      </c>
      <c r="AI201" s="139">
        <v>0.6</v>
      </c>
      <c r="AJ201" s="83">
        <f t="shared" si="25"/>
        <v>2880</v>
      </c>
      <c r="AK201" s="83">
        <f t="shared" si="26"/>
        <v>4320</v>
      </c>
      <c r="AL201" s="104">
        <f t="shared" si="27"/>
        <v>1.5425617461229177</v>
      </c>
      <c r="AM201" s="104">
        <f t="shared" si="28"/>
        <v>1.5425617461229177</v>
      </c>
      <c r="AN201" s="83">
        <f t="shared" si="29"/>
        <v>4442.5778288340034</v>
      </c>
      <c r="AO201" s="83">
        <f t="shared" si="30"/>
        <v>6663.8667432510047</v>
      </c>
      <c r="AP201" s="182">
        <f t="shared" si="31"/>
        <v>15.158697512877657</v>
      </c>
      <c r="AQ201" s="182">
        <f t="shared" si="32"/>
        <v>22.738046269316484</v>
      </c>
      <c r="AR201" s="85"/>
      <c r="AS201" s="85"/>
      <c r="AT201" s="53"/>
      <c r="AU201" s="53"/>
      <c r="AV201" s="53"/>
      <c r="AW201" s="53"/>
      <c r="AX201" s="53"/>
      <c r="AY201" s="53"/>
      <c r="AZ201" s="53"/>
      <c r="BA201" s="53"/>
      <c r="BB201" s="53"/>
      <c r="BC201" s="111">
        <f t="shared" si="33"/>
        <v>4442.5778288340034</v>
      </c>
      <c r="BD201" s="111">
        <f t="shared" si="34"/>
        <v>6663.8667432510047</v>
      </c>
    </row>
    <row r="202" spans="1:56" ht="15.75" x14ac:dyDescent="0.25">
      <c r="A202" s="53">
        <v>192</v>
      </c>
      <c r="B202" s="53"/>
      <c r="C202" s="53"/>
      <c r="D202" s="53" t="s">
        <v>135</v>
      </c>
      <c r="E202" s="53"/>
      <c r="F202" s="53"/>
      <c r="G202" s="53" t="s">
        <v>290</v>
      </c>
      <c r="H202" s="53" t="s">
        <v>291</v>
      </c>
      <c r="I202" s="85" t="s">
        <v>630</v>
      </c>
      <c r="J202" s="85" t="s">
        <v>630</v>
      </c>
      <c r="K202" s="85" t="s">
        <v>800</v>
      </c>
      <c r="L202" s="53" t="s">
        <v>216</v>
      </c>
      <c r="M202" s="53" t="s">
        <v>295</v>
      </c>
      <c r="N202" s="53"/>
      <c r="O202" s="85" t="s">
        <v>135</v>
      </c>
      <c r="P202" s="53">
        <v>1</v>
      </c>
      <c r="Q202" s="183">
        <v>3</v>
      </c>
      <c r="R202" s="84">
        <v>0.87050000000000005</v>
      </c>
      <c r="S202" s="53">
        <v>4.8</v>
      </c>
      <c r="T202" s="53"/>
      <c r="U202" s="53">
        <v>3</v>
      </c>
      <c r="V202" s="53">
        <v>480</v>
      </c>
      <c r="W202" s="53"/>
      <c r="X202" s="53"/>
      <c r="Y202" s="53"/>
      <c r="Z202" s="53"/>
      <c r="AA202" s="53"/>
      <c r="AB202" s="53"/>
      <c r="AC202" s="137" t="s">
        <v>124</v>
      </c>
      <c r="AD202" s="138" t="s">
        <v>118</v>
      </c>
      <c r="AE202" s="83">
        <v>8760</v>
      </c>
      <c r="AF202" s="139">
        <v>1</v>
      </c>
      <c r="AG202" s="139">
        <f t="shared" si="35"/>
        <v>0.82191780821917804</v>
      </c>
      <c r="AH202" s="139">
        <v>0.6</v>
      </c>
      <c r="AI202" s="139">
        <v>0.6</v>
      </c>
      <c r="AJ202" s="83">
        <f t="shared" si="25"/>
        <v>2880</v>
      </c>
      <c r="AK202" s="83">
        <f t="shared" si="26"/>
        <v>4320</v>
      </c>
      <c r="AL202" s="104">
        <f t="shared" si="27"/>
        <v>1.5425617461229177</v>
      </c>
      <c r="AM202" s="104">
        <f t="shared" si="28"/>
        <v>1.5425617461229177</v>
      </c>
      <c r="AN202" s="83">
        <f t="shared" si="29"/>
        <v>4442.5778288340034</v>
      </c>
      <c r="AO202" s="83">
        <f t="shared" si="30"/>
        <v>6663.8667432510047</v>
      </c>
      <c r="AP202" s="182">
        <f t="shared" si="31"/>
        <v>15.158697512877657</v>
      </c>
      <c r="AQ202" s="182">
        <f t="shared" si="32"/>
        <v>22.738046269316484</v>
      </c>
      <c r="AR202" s="85"/>
      <c r="AS202" s="85"/>
      <c r="AT202" s="53"/>
      <c r="AU202" s="53"/>
      <c r="AV202" s="53"/>
      <c r="AW202" s="53"/>
      <c r="AX202" s="53"/>
      <c r="AY202" s="53"/>
      <c r="AZ202" s="53"/>
      <c r="BA202" s="53"/>
      <c r="BB202" s="53"/>
      <c r="BC202" s="111">
        <f t="shared" si="33"/>
        <v>4442.5778288340034</v>
      </c>
      <c r="BD202" s="111">
        <f t="shared" si="34"/>
        <v>6663.8667432510047</v>
      </c>
    </row>
    <row r="203" spans="1:56" ht="15.75" x14ac:dyDescent="0.25">
      <c r="A203" s="53">
        <v>193</v>
      </c>
      <c r="B203" s="53"/>
      <c r="C203" s="53"/>
      <c r="D203" s="53" t="s">
        <v>135</v>
      </c>
      <c r="E203" s="53"/>
      <c r="F203" s="53"/>
      <c r="G203" s="53" t="s">
        <v>290</v>
      </c>
      <c r="H203" s="53" t="s">
        <v>291</v>
      </c>
      <c r="I203" s="85" t="s">
        <v>630</v>
      </c>
      <c r="J203" s="85" t="s">
        <v>630</v>
      </c>
      <c r="K203" s="85" t="s">
        <v>365</v>
      </c>
      <c r="L203" s="53" t="s">
        <v>216</v>
      </c>
      <c r="M203" s="53" t="s">
        <v>295</v>
      </c>
      <c r="N203" s="53"/>
      <c r="O203" s="85" t="s">
        <v>688</v>
      </c>
      <c r="P203" s="53">
        <v>1</v>
      </c>
      <c r="Q203" s="183">
        <v>7.5</v>
      </c>
      <c r="R203" s="84">
        <v>0.87050000000000005</v>
      </c>
      <c r="S203" s="53">
        <v>10</v>
      </c>
      <c r="T203" s="53"/>
      <c r="U203" s="53">
        <v>3</v>
      </c>
      <c r="V203" s="53">
        <v>480</v>
      </c>
      <c r="W203" s="53"/>
      <c r="X203" s="53"/>
      <c r="Y203" s="53"/>
      <c r="Z203" s="53"/>
      <c r="AA203" s="53"/>
      <c r="AB203" s="53"/>
      <c r="AC203" s="137" t="s">
        <v>124</v>
      </c>
      <c r="AD203" s="138" t="s">
        <v>118</v>
      </c>
      <c r="AE203" s="83">
        <v>8760</v>
      </c>
      <c r="AF203" s="139">
        <v>1</v>
      </c>
      <c r="AG203" s="139">
        <f t="shared" si="35"/>
        <v>0.82191780821917804</v>
      </c>
      <c r="AH203" s="139">
        <v>0.6</v>
      </c>
      <c r="AI203" s="139">
        <v>0.6</v>
      </c>
      <c r="AJ203" s="83">
        <f t="shared" ref="AJ203:AJ266" si="36">$AE203*AG203*$AA$3</f>
        <v>2880</v>
      </c>
      <c r="AK203" s="83">
        <f t="shared" ref="AK203:AK266" si="37">$AE203*AG203*$AA$4</f>
        <v>4320</v>
      </c>
      <c r="AL203" s="104">
        <f t="shared" ref="AL203:AL266" si="38">IF($Q203&gt;0,((($P203*$Q203*$AP$2/$R203)*$AH203)),IF($U203=1,($AV203*$AF203*$AH203),((1.732*($V203/1000)*$S203*$AP$3*$AF203*$AH203*$P203))))</f>
        <v>3.8564043653072941</v>
      </c>
      <c r="AM203" s="104">
        <f t="shared" ref="AM203:AM266" si="39">IF($Q203&gt;0,((($P203*$Q203*$AP$2/$R203)*$AI203)),IF($U203=1,($AV203*$AF203*$AI203),((1.732*($V203/1000)*$S203*$AP$3*$AF203*$AI203*$P203))))</f>
        <v>3.8564043653072941</v>
      </c>
      <c r="AN203" s="83">
        <f t="shared" ref="AN203:AN266" si="40">AL203*AJ203</f>
        <v>11106.444572085007</v>
      </c>
      <c r="AO203" s="83">
        <f t="shared" ref="AO203:AO266" si="41">AM203*AK203</f>
        <v>16659.666858127512</v>
      </c>
      <c r="AP203" s="182">
        <f t="shared" ref="AP203:AP266" si="42">AN203*$AP$7/1000000</f>
        <v>37.896743782194136</v>
      </c>
      <c r="AQ203" s="182">
        <f t="shared" ref="AQ203:AQ266" si="43">AO203*$AQ$7/1000000</f>
        <v>56.845115673291204</v>
      </c>
      <c r="AR203" s="85"/>
      <c r="AS203" s="85"/>
      <c r="AT203" s="53"/>
      <c r="AU203" s="53"/>
      <c r="AV203" s="53"/>
      <c r="AW203" s="53"/>
      <c r="AX203" s="53"/>
      <c r="AY203" s="53"/>
      <c r="AZ203" s="53"/>
      <c r="BA203" s="53"/>
      <c r="BB203" s="53"/>
      <c r="BC203" s="111">
        <f t="shared" ref="BC203:BC266" si="44">AN203</f>
        <v>11106.444572085007</v>
      </c>
      <c r="BD203" s="111">
        <f t="shared" ref="BD203:BD266" si="45">AO203</f>
        <v>16659.666858127512</v>
      </c>
    </row>
    <row r="204" spans="1:56" ht="15.75" x14ac:dyDescent="0.25">
      <c r="A204" s="53">
        <v>194</v>
      </c>
      <c r="B204" s="53"/>
      <c r="C204" s="53"/>
      <c r="D204" s="53" t="s">
        <v>135</v>
      </c>
      <c r="E204" s="53"/>
      <c r="F204" s="53"/>
      <c r="G204" s="53" t="s">
        <v>290</v>
      </c>
      <c r="H204" s="53" t="s">
        <v>291</v>
      </c>
      <c r="I204" s="85" t="s">
        <v>630</v>
      </c>
      <c r="J204" s="85" t="s">
        <v>631</v>
      </c>
      <c r="K204" s="85" t="s">
        <v>791</v>
      </c>
      <c r="L204" s="53" t="s">
        <v>216</v>
      </c>
      <c r="M204" s="53" t="s">
        <v>295</v>
      </c>
      <c r="N204" s="53"/>
      <c r="O204" s="85" t="s">
        <v>135</v>
      </c>
      <c r="P204" s="53">
        <v>1</v>
      </c>
      <c r="Q204" s="183">
        <v>3</v>
      </c>
      <c r="R204" s="84">
        <v>0.87050000000000005</v>
      </c>
      <c r="S204" s="53">
        <v>4.8</v>
      </c>
      <c r="T204" s="53"/>
      <c r="U204" s="53">
        <v>3</v>
      </c>
      <c r="V204" s="53">
        <v>480</v>
      </c>
      <c r="W204" s="53"/>
      <c r="X204" s="53"/>
      <c r="Y204" s="53"/>
      <c r="Z204" s="53"/>
      <c r="AA204" s="53"/>
      <c r="AB204" s="53"/>
      <c r="AC204" s="137" t="s">
        <v>124</v>
      </c>
      <c r="AD204" s="138" t="s">
        <v>118</v>
      </c>
      <c r="AE204" s="83">
        <v>8760</v>
      </c>
      <c r="AF204" s="139">
        <v>1</v>
      </c>
      <c r="AG204" s="139">
        <f t="shared" si="35"/>
        <v>0.82191780821917804</v>
      </c>
      <c r="AH204" s="139">
        <v>0.6</v>
      </c>
      <c r="AI204" s="139">
        <v>0.6</v>
      </c>
      <c r="AJ204" s="83">
        <f t="shared" si="36"/>
        <v>2880</v>
      </c>
      <c r="AK204" s="83">
        <f t="shared" si="37"/>
        <v>4320</v>
      </c>
      <c r="AL204" s="104">
        <f t="shared" si="38"/>
        <v>1.5425617461229177</v>
      </c>
      <c r="AM204" s="104">
        <f t="shared" si="39"/>
        <v>1.5425617461229177</v>
      </c>
      <c r="AN204" s="83">
        <f t="shared" si="40"/>
        <v>4442.5778288340034</v>
      </c>
      <c r="AO204" s="83">
        <f t="shared" si="41"/>
        <v>6663.8667432510047</v>
      </c>
      <c r="AP204" s="182">
        <f t="shared" si="42"/>
        <v>15.158697512877657</v>
      </c>
      <c r="AQ204" s="182">
        <f t="shared" si="43"/>
        <v>22.738046269316484</v>
      </c>
      <c r="AR204" s="85"/>
      <c r="AS204" s="85"/>
      <c r="AT204" s="53"/>
      <c r="AU204" s="53"/>
      <c r="AV204" s="53"/>
      <c r="AW204" s="53"/>
      <c r="AX204" s="53"/>
      <c r="AY204" s="53"/>
      <c r="AZ204" s="53"/>
      <c r="BA204" s="53"/>
      <c r="BB204" s="53"/>
      <c r="BC204" s="111">
        <f t="shared" si="44"/>
        <v>4442.5778288340034</v>
      </c>
      <c r="BD204" s="111">
        <f t="shared" si="45"/>
        <v>6663.8667432510047</v>
      </c>
    </row>
    <row r="205" spans="1:56" ht="15.75" x14ac:dyDescent="0.25">
      <c r="A205" s="53">
        <v>195</v>
      </c>
      <c r="B205" s="53"/>
      <c r="C205" s="53"/>
      <c r="D205" s="53" t="s">
        <v>135</v>
      </c>
      <c r="E205" s="53"/>
      <c r="F205" s="53"/>
      <c r="G205" s="53" t="s">
        <v>290</v>
      </c>
      <c r="H205" s="53" t="s">
        <v>291</v>
      </c>
      <c r="I205" s="85" t="s">
        <v>630</v>
      </c>
      <c r="J205" s="85" t="s">
        <v>631</v>
      </c>
      <c r="K205" s="85" t="s">
        <v>792</v>
      </c>
      <c r="L205" s="53" t="s">
        <v>216</v>
      </c>
      <c r="M205" s="53" t="s">
        <v>295</v>
      </c>
      <c r="N205" s="53"/>
      <c r="O205" s="85" t="s">
        <v>135</v>
      </c>
      <c r="P205" s="53">
        <v>1</v>
      </c>
      <c r="Q205" s="183">
        <v>3</v>
      </c>
      <c r="R205" s="84">
        <v>0.87050000000000005</v>
      </c>
      <c r="S205" s="53">
        <v>4.8</v>
      </c>
      <c r="T205" s="53"/>
      <c r="U205" s="53">
        <v>3</v>
      </c>
      <c r="V205" s="53">
        <v>480</v>
      </c>
      <c r="W205" s="53"/>
      <c r="X205" s="53"/>
      <c r="Y205" s="53"/>
      <c r="Z205" s="53"/>
      <c r="AA205" s="53"/>
      <c r="AB205" s="53"/>
      <c r="AC205" s="137" t="s">
        <v>124</v>
      </c>
      <c r="AD205" s="138" t="s">
        <v>118</v>
      </c>
      <c r="AE205" s="83">
        <v>8760</v>
      </c>
      <c r="AF205" s="139">
        <v>1</v>
      </c>
      <c r="AG205" s="139">
        <f t="shared" si="35"/>
        <v>0.82191780821917804</v>
      </c>
      <c r="AH205" s="139">
        <v>0.6</v>
      </c>
      <c r="AI205" s="139">
        <v>0.6</v>
      </c>
      <c r="AJ205" s="83">
        <f t="shared" si="36"/>
        <v>2880</v>
      </c>
      <c r="AK205" s="83">
        <f t="shared" si="37"/>
        <v>4320</v>
      </c>
      <c r="AL205" s="104">
        <f t="shared" si="38"/>
        <v>1.5425617461229177</v>
      </c>
      <c r="AM205" s="104">
        <f t="shared" si="39"/>
        <v>1.5425617461229177</v>
      </c>
      <c r="AN205" s="83">
        <f t="shared" si="40"/>
        <v>4442.5778288340034</v>
      </c>
      <c r="AO205" s="83">
        <f t="shared" si="41"/>
        <v>6663.8667432510047</v>
      </c>
      <c r="AP205" s="182">
        <f t="shared" si="42"/>
        <v>15.158697512877657</v>
      </c>
      <c r="AQ205" s="182">
        <f t="shared" si="43"/>
        <v>22.738046269316484</v>
      </c>
      <c r="AR205" s="85"/>
      <c r="AS205" s="85"/>
      <c r="AT205" s="53"/>
      <c r="AU205" s="53"/>
      <c r="AV205" s="53"/>
      <c r="AW205" s="53"/>
      <c r="AX205" s="53"/>
      <c r="AY205" s="53"/>
      <c r="AZ205" s="53"/>
      <c r="BA205" s="53"/>
      <c r="BB205" s="53"/>
      <c r="BC205" s="111">
        <f t="shared" si="44"/>
        <v>4442.5778288340034</v>
      </c>
      <c r="BD205" s="111">
        <f t="shared" si="45"/>
        <v>6663.8667432510047</v>
      </c>
    </row>
    <row r="206" spans="1:56" ht="15.75" x14ac:dyDescent="0.25">
      <c r="A206" s="53">
        <v>196</v>
      </c>
      <c r="B206" s="53"/>
      <c r="C206" s="53"/>
      <c r="D206" s="53" t="s">
        <v>135</v>
      </c>
      <c r="E206" s="53"/>
      <c r="F206" s="53"/>
      <c r="G206" s="53" t="s">
        <v>290</v>
      </c>
      <c r="H206" s="53" t="s">
        <v>291</v>
      </c>
      <c r="I206" s="85" t="s">
        <v>630</v>
      </c>
      <c r="J206" s="85" t="s">
        <v>631</v>
      </c>
      <c r="K206" s="85" t="s">
        <v>294</v>
      </c>
      <c r="L206" s="53" t="s">
        <v>216</v>
      </c>
      <c r="M206" s="53" t="s">
        <v>295</v>
      </c>
      <c r="N206" s="53"/>
      <c r="O206" s="85" t="s">
        <v>135</v>
      </c>
      <c r="P206" s="53">
        <v>1</v>
      </c>
      <c r="Q206" s="183">
        <v>7.5</v>
      </c>
      <c r="R206" s="84">
        <v>0.87050000000000005</v>
      </c>
      <c r="S206" s="53">
        <v>10</v>
      </c>
      <c r="T206" s="53"/>
      <c r="U206" s="53">
        <v>3</v>
      </c>
      <c r="V206" s="53">
        <v>480</v>
      </c>
      <c r="W206" s="53"/>
      <c r="X206" s="53"/>
      <c r="Y206" s="53"/>
      <c r="Z206" s="53"/>
      <c r="AA206" s="53"/>
      <c r="AB206" s="53"/>
      <c r="AC206" s="137" t="s">
        <v>124</v>
      </c>
      <c r="AD206" s="138" t="s">
        <v>118</v>
      </c>
      <c r="AE206" s="83">
        <v>8760</v>
      </c>
      <c r="AF206" s="139">
        <v>1</v>
      </c>
      <c r="AG206" s="139">
        <f t="shared" si="35"/>
        <v>0.82191780821917804</v>
      </c>
      <c r="AH206" s="139">
        <v>0.6</v>
      </c>
      <c r="AI206" s="139">
        <v>0.6</v>
      </c>
      <c r="AJ206" s="83">
        <f t="shared" si="36"/>
        <v>2880</v>
      </c>
      <c r="AK206" s="83">
        <f t="shared" si="37"/>
        <v>4320</v>
      </c>
      <c r="AL206" s="104">
        <f t="shared" si="38"/>
        <v>3.8564043653072941</v>
      </c>
      <c r="AM206" s="104">
        <f t="shared" si="39"/>
        <v>3.8564043653072941</v>
      </c>
      <c r="AN206" s="83">
        <f t="shared" si="40"/>
        <v>11106.444572085007</v>
      </c>
      <c r="AO206" s="83">
        <f t="shared" si="41"/>
        <v>16659.666858127512</v>
      </c>
      <c r="AP206" s="182">
        <f t="shared" si="42"/>
        <v>37.896743782194136</v>
      </c>
      <c r="AQ206" s="182">
        <f t="shared" si="43"/>
        <v>56.845115673291204</v>
      </c>
      <c r="AR206" s="85"/>
      <c r="AS206" s="85"/>
      <c r="AT206" s="53"/>
      <c r="AU206" s="53"/>
      <c r="AV206" s="53"/>
      <c r="AW206" s="53"/>
      <c r="AX206" s="53"/>
      <c r="AY206" s="53"/>
      <c r="AZ206" s="53"/>
      <c r="BA206" s="53"/>
      <c r="BB206" s="53"/>
      <c r="BC206" s="111">
        <f t="shared" si="44"/>
        <v>11106.444572085007</v>
      </c>
      <c r="BD206" s="111">
        <f t="shared" si="45"/>
        <v>16659.666858127512</v>
      </c>
    </row>
    <row r="207" spans="1:56" ht="15.75" x14ac:dyDescent="0.25">
      <c r="A207" s="53">
        <v>197</v>
      </c>
      <c r="B207" s="53"/>
      <c r="C207" s="53"/>
      <c r="D207" s="53" t="s">
        <v>135</v>
      </c>
      <c r="E207" s="53"/>
      <c r="F207" s="53"/>
      <c r="G207" s="53" t="s">
        <v>290</v>
      </c>
      <c r="H207" s="53" t="s">
        <v>291</v>
      </c>
      <c r="I207" s="85" t="s">
        <v>630</v>
      </c>
      <c r="J207" s="85" t="s">
        <v>631</v>
      </c>
      <c r="K207" s="85" t="s">
        <v>365</v>
      </c>
      <c r="L207" s="53" t="s">
        <v>216</v>
      </c>
      <c r="M207" s="53" t="s">
        <v>295</v>
      </c>
      <c r="N207" s="53"/>
      <c r="O207" s="85" t="s">
        <v>632</v>
      </c>
      <c r="P207" s="53">
        <v>1</v>
      </c>
      <c r="Q207" s="183">
        <v>10</v>
      </c>
      <c r="R207" s="84">
        <v>0.87050000000000005</v>
      </c>
      <c r="S207" s="53">
        <v>14</v>
      </c>
      <c r="T207" s="53"/>
      <c r="U207" s="53">
        <v>3</v>
      </c>
      <c r="V207" s="53">
        <v>480</v>
      </c>
      <c r="W207" s="53"/>
      <c r="X207" s="53"/>
      <c r="Y207" s="53"/>
      <c r="Z207" s="53"/>
      <c r="AA207" s="53"/>
      <c r="AB207" s="53"/>
      <c r="AC207" s="137" t="s">
        <v>124</v>
      </c>
      <c r="AD207" s="138" t="s">
        <v>118</v>
      </c>
      <c r="AE207" s="83">
        <v>8760</v>
      </c>
      <c r="AF207" s="139">
        <v>1</v>
      </c>
      <c r="AG207" s="139">
        <f t="shared" si="35"/>
        <v>0.82191780821917804</v>
      </c>
      <c r="AH207" s="139">
        <v>0.6</v>
      </c>
      <c r="AI207" s="139">
        <v>0.6</v>
      </c>
      <c r="AJ207" s="83">
        <f t="shared" si="36"/>
        <v>2880</v>
      </c>
      <c r="AK207" s="83">
        <f t="shared" si="37"/>
        <v>4320</v>
      </c>
      <c r="AL207" s="104">
        <f t="shared" si="38"/>
        <v>5.1418724870763919</v>
      </c>
      <c r="AM207" s="104">
        <f t="shared" si="39"/>
        <v>5.1418724870763919</v>
      </c>
      <c r="AN207" s="83">
        <f t="shared" si="40"/>
        <v>14808.592762780008</v>
      </c>
      <c r="AO207" s="83">
        <f t="shared" si="41"/>
        <v>22212.889144170014</v>
      </c>
      <c r="AP207" s="182">
        <f t="shared" si="42"/>
        <v>50.528991709592177</v>
      </c>
      <c r="AQ207" s="182">
        <f t="shared" si="43"/>
        <v>75.793487564388272</v>
      </c>
      <c r="AR207" s="85"/>
      <c r="AS207" s="85"/>
      <c r="AT207" s="53"/>
      <c r="AU207" s="53"/>
      <c r="AV207" s="53"/>
      <c r="AW207" s="53"/>
      <c r="AX207" s="53"/>
      <c r="AY207" s="53"/>
      <c r="AZ207" s="53"/>
      <c r="BA207" s="53"/>
      <c r="BB207" s="53"/>
      <c r="BC207" s="111">
        <f t="shared" si="44"/>
        <v>14808.592762780008</v>
      </c>
      <c r="BD207" s="111">
        <f t="shared" si="45"/>
        <v>22212.889144170014</v>
      </c>
    </row>
    <row r="208" spans="1:56" ht="15.75" x14ac:dyDescent="0.25">
      <c r="A208" s="53">
        <v>198</v>
      </c>
      <c r="B208" s="53"/>
      <c r="C208" s="53"/>
      <c r="D208" s="53" t="s">
        <v>135</v>
      </c>
      <c r="E208" s="53"/>
      <c r="F208" s="53"/>
      <c r="G208" s="53" t="s">
        <v>290</v>
      </c>
      <c r="H208" s="53" t="s">
        <v>291</v>
      </c>
      <c r="I208" s="85" t="s">
        <v>411</v>
      </c>
      <c r="J208" s="85" t="s">
        <v>633</v>
      </c>
      <c r="K208" s="85" t="s">
        <v>365</v>
      </c>
      <c r="L208" s="53" t="s">
        <v>216</v>
      </c>
      <c r="M208" s="53" t="s">
        <v>295</v>
      </c>
      <c r="N208" s="53"/>
      <c r="O208" s="85" t="s">
        <v>634</v>
      </c>
      <c r="P208" s="53">
        <v>1</v>
      </c>
      <c r="Q208" s="183">
        <v>10</v>
      </c>
      <c r="R208" s="84">
        <v>0.87050000000000005</v>
      </c>
      <c r="S208" s="53">
        <v>14</v>
      </c>
      <c r="T208" s="53"/>
      <c r="U208" s="53">
        <v>3</v>
      </c>
      <c r="V208" s="53">
        <v>480</v>
      </c>
      <c r="W208" s="53"/>
      <c r="X208" s="53"/>
      <c r="Y208" s="53"/>
      <c r="Z208" s="53"/>
      <c r="AA208" s="53"/>
      <c r="AB208" s="53"/>
      <c r="AC208" s="137" t="s">
        <v>124</v>
      </c>
      <c r="AD208" s="138" t="s">
        <v>118</v>
      </c>
      <c r="AE208" s="83">
        <v>8760</v>
      </c>
      <c r="AF208" s="139">
        <v>1</v>
      </c>
      <c r="AG208" s="139">
        <f t="shared" si="35"/>
        <v>0.82191780821917804</v>
      </c>
      <c r="AH208" s="139">
        <v>0.6</v>
      </c>
      <c r="AI208" s="139">
        <v>0.6</v>
      </c>
      <c r="AJ208" s="83">
        <f t="shared" si="36"/>
        <v>2880</v>
      </c>
      <c r="AK208" s="83">
        <f t="shared" si="37"/>
        <v>4320</v>
      </c>
      <c r="AL208" s="104">
        <f t="shared" si="38"/>
        <v>5.1418724870763919</v>
      </c>
      <c r="AM208" s="104">
        <f t="shared" si="39"/>
        <v>5.1418724870763919</v>
      </c>
      <c r="AN208" s="83">
        <f t="shared" si="40"/>
        <v>14808.592762780008</v>
      </c>
      <c r="AO208" s="83">
        <f t="shared" si="41"/>
        <v>22212.889144170014</v>
      </c>
      <c r="AP208" s="182">
        <f t="shared" si="42"/>
        <v>50.528991709592177</v>
      </c>
      <c r="AQ208" s="182">
        <f t="shared" si="43"/>
        <v>75.793487564388272</v>
      </c>
      <c r="AR208" s="85"/>
      <c r="AS208" s="85"/>
      <c r="AT208" s="53"/>
      <c r="AU208" s="53"/>
      <c r="AV208" s="53"/>
      <c r="AW208" s="53"/>
      <c r="AX208" s="53"/>
      <c r="AY208" s="53"/>
      <c r="AZ208" s="53"/>
      <c r="BA208" s="53"/>
      <c r="BB208" s="53"/>
      <c r="BC208" s="111">
        <f t="shared" si="44"/>
        <v>14808.592762780008</v>
      </c>
      <c r="BD208" s="111">
        <f t="shared" si="45"/>
        <v>22212.889144170014</v>
      </c>
    </row>
    <row r="209" spans="1:56" ht="15.75" x14ac:dyDescent="0.25">
      <c r="A209" s="53">
        <v>199</v>
      </c>
      <c r="B209" s="53"/>
      <c r="C209" s="53"/>
      <c r="D209" s="53" t="s">
        <v>135</v>
      </c>
      <c r="E209" s="53"/>
      <c r="F209" s="53"/>
      <c r="G209" s="53" t="s">
        <v>290</v>
      </c>
      <c r="H209" s="53" t="s">
        <v>291</v>
      </c>
      <c r="I209" s="85" t="s">
        <v>411</v>
      </c>
      <c r="J209" s="85" t="s">
        <v>633</v>
      </c>
      <c r="K209" s="85" t="s">
        <v>365</v>
      </c>
      <c r="L209" s="53" t="s">
        <v>216</v>
      </c>
      <c r="M209" s="53" t="s">
        <v>295</v>
      </c>
      <c r="N209" s="53"/>
      <c r="O209" s="85" t="s">
        <v>635</v>
      </c>
      <c r="P209" s="53">
        <v>1</v>
      </c>
      <c r="Q209" s="183">
        <v>10</v>
      </c>
      <c r="R209" s="84">
        <v>0.87050000000000005</v>
      </c>
      <c r="S209" s="53">
        <v>14</v>
      </c>
      <c r="T209" s="53"/>
      <c r="U209" s="53">
        <v>3</v>
      </c>
      <c r="V209" s="53">
        <v>480</v>
      </c>
      <c r="W209" s="53"/>
      <c r="X209" s="53"/>
      <c r="Y209" s="53"/>
      <c r="Z209" s="53"/>
      <c r="AA209" s="53"/>
      <c r="AB209" s="53"/>
      <c r="AC209" s="137" t="s">
        <v>124</v>
      </c>
      <c r="AD209" s="138" t="s">
        <v>118</v>
      </c>
      <c r="AE209" s="83">
        <v>8760</v>
      </c>
      <c r="AF209" s="139">
        <v>1</v>
      </c>
      <c r="AG209" s="139">
        <f t="shared" si="35"/>
        <v>0.82191780821917804</v>
      </c>
      <c r="AH209" s="139">
        <v>0.6</v>
      </c>
      <c r="AI209" s="139">
        <v>0.6</v>
      </c>
      <c r="AJ209" s="83">
        <f t="shared" si="36"/>
        <v>2880</v>
      </c>
      <c r="AK209" s="83">
        <f t="shared" si="37"/>
        <v>4320</v>
      </c>
      <c r="AL209" s="104">
        <f t="shared" si="38"/>
        <v>5.1418724870763919</v>
      </c>
      <c r="AM209" s="104">
        <f t="shared" si="39"/>
        <v>5.1418724870763919</v>
      </c>
      <c r="AN209" s="83">
        <f t="shared" si="40"/>
        <v>14808.592762780008</v>
      </c>
      <c r="AO209" s="83">
        <f t="shared" si="41"/>
        <v>22212.889144170014</v>
      </c>
      <c r="AP209" s="182">
        <f t="shared" si="42"/>
        <v>50.528991709592177</v>
      </c>
      <c r="AQ209" s="182">
        <f t="shared" si="43"/>
        <v>75.793487564388272</v>
      </c>
      <c r="AR209" s="85"/>
      <c r="AS209" s="85"/>
      <c r="AT209" s="53"/>
      <c r="AU209" s="53"/>
      <c r="AV209" s="53"/>
      <c r="AW209" s="53"/>
      <c r="AX209" s="53"/>
      <c r="AY209" s="53"/>
      <c r="AZ209" s="53"/>
      <c r="BA209" s="53"/>
      <c r="BB209" s="53"/>
      <c r="BC209" s="111">
        <f t="shared" si="44"/>
        <v>14808.592762780008</v>
      </c>
      <c r="BD209" s="111">
        <f t="shared" si="45"/>
        <v>22212.889144170014</v>
      </c>
    </row>
    <row r="210" spans="1:56" ht="15.75" x14ac:dyDescent="0.25">
      <c r="A210" s="53">
        <v>200</v>
      </c>
      <c r="B210" s="53"/>
      <c r="C210" s="53"/>
      <c r="D210" s="53" t="s">
        <v>135</v>
      </c>
      <c r="E210" s="53"/>
      <c r="F210" s="53"/>
      <c r="G210" s="53" t="s">
        <v>290</v>
      </c>
      <c r="H210" s="53" t="s">
        <v>291</v>
      </c>
      <c r="I210" s="85" t="s">
        <v>411</v>
      </c>
      <c r="J210" s="85" t="s">
        <v>633</v>
      </c>
      <c r="K210" s="85" t="s">
        <v>365</v>
      </c>
      <c r="L210" s="53" t="s">
        <v>216</v>
      </c>
      <c r="M210" s="53" t="s">
        <v>295</v>
      </c>
      <c r="N210" s="53"/>
      <c r="O210" s="85" t="s">
        <v>636</v>
      </c>
      <c r="P210" s="53">
        <v>1</v>
      </c>
      <c r="Q210" s="183">
        <v>10</v>
      </c>
      <c r="R210" s="84">
        <v>0.87050000000000005</v>
      </c>
      <c r="S210" s="53">
        <v>14</v>
      </c>
      <c r="T210" s="53"/>
      <c r="U210" s="53">
        <v>3</v>
      </c>
      <c r="V210" s="53">
        <v>480</v>
      </c>
      <c r="W210" s="53"/>
      <c r="X210" s="53"/>
      <c r="Y210" s="53"/>
      <c r="Z210" s="53"/>
      <c r="AA210" s="53"/>
      <c r="AB210" s="53"/>
      <c r="AC210" s="137" t="s">
        <v>124</v>
      </c>
      <c r="AD210" s="138" t="s">
        <v>118</v>
      </c>
      <c r="AE210" s="83">
        <v>8760</v>
      </c>
      <c r="AF210" s="139">
        <v>1</v>
      </c>
      <c r="AG210" s="139">
        <f t="shared" si="35"/>
        <v>0.82191780821917804</v>
      </c>
      <c r="AH210" s="139">
        <v>0.6</v>
      </c>
      <c r="AI210" s="139">
        <v>0.6</v>
      </c>
      <c r="AJ210" s="83">
        <f t="shared" si="36"/>
        <v>2880</v>
      </c>
      <c r="AK210" s="83">
        <f t="shared" si="37"/>
        <v>4320</v>
      </c>
      <c r="AL210" s="104">
        <f t="shared" si="38"/>
        <v>5.1418724870763919</v>
      </c>
      <c r="AM210" s="104">
        <f t="shared" si="39"/>
        <v>5.1418724870763919</v>
      </c>
      <c r="AN210" s="83">
        <f t="shared" si="40"/>
        <v>14808.592762780008</v>
      </c>
      <c r="AO210" s="83">
        <f t="shared" si="41"/>
        <v>22212.889144170014</v>
      </c>
      <c r="AP210" s="182">
        <f t="shared" si="42"/>
        <v>50.528991709592177</v>
      </c>
      <c r="AQ210" s="182">
        <f t="shared" si="43"/>
        <v>75.793487564388272</v>
      </c>
      <c r="AR210" s="85"/>
      <c r="AS210" s="85"/>
      <c r="AT210" s="53"/>
      <c r="AU210" s="53"/>
      <c r="AV210" s="53"/>
      <c r="AW210" s="53"/>
      <c r="AX210" s="53"/>
      <c r="AY210" s="53"/>
      <c r="AZ210" s="53"/>
      <c r="BA210" s="53"/>
      <c r="BB210" s="53"/>
      <c r="BC210" s="111">
        <f t="shared" si="44"/>
        <v>14808.592762780008</v>
      </c>
      <c r="BD210" s="111">
        <f t="shared" si="45"/>
        <v>22212.889144170014</v>
      </c>
    </row>
    <row r="211" spans="1:56" ht="15.75" x14ac:dyDescent="0.25">
      <c r="A211" s="53">
        <v>201</v>
      </c>
      <c r="B211" s="53"/>
      <c r="C211" s="53"/>
      <c r="D211" s="53" t="s">
        <v>135</v>
      </c>
      <c r="E211" s="53"/>
      <c r="F211" s="53"/>
      <c r="G211" s="53" t="s">
        <v>290</v>
      </c>
      <c r="H211" s="53" t="s">
        <v>291</v>
      </c>
      <c r="I211" s="85" t="s">
        <v>411</v>
      </c>
      <c r="J211" s="85" t="s">
        <v>633</v>
      </c>
      <c r="K211" s="85" t="s">
        <v>365</v>
      </c>
      <c r="L211" s="53" t="s">
        <v>216</v>
      </c>
      <c r="M211" s="53" t="s">
        <v>295</v>
      </c>
      <c r="N211" s="53"/>
      <c r="O211" s="85" t="s">
        <v>637</v>
      </c>
      <c r="P211" s="53">
        <v>1</v>
      </c>
      <c r="Q211" s="183">
        <v>10</v>
      </c>
      <c r="R211" s="84">
        <v>0.87050000000000005</v>
      </c>
      <c r="S211" s="53">
        <v>14</v>
      </c>
      <c r="T211" s="53"/>
      <c r="U211" s="53">
        <v>3</v>
      </c>
      <c r="V211" s="53">
        <v>480</v>
      </c>
      <c r="W211" s="53"/>
      <c r="X211" s="53"/>
      <c r="Y211" s="53"/>
      <c r="Z211" s="53"/>
      <c r="AA211" s="53"/>
      <c r="AB211" s="53"/>
      <c r="AC211" s="137" t="s">
        <v>124</v>
      </c>
      <c r="AD211" s="138" t="s">
        <v>118</v>
      </c>
      <c r="AE211" s="83">
        <v>8760</v>
      </c>
      <c r="AF211" s="139">
        <v>1</v>
      </c>
      <c r="AG211" s="139">
        <f t="shared" ref="AG211:AG242" si="46">$AB$7</f>
        <v>0.82191780821917804</v>
      </c>
      <c r="AH211" s="139">
        <v>0.6</v>
      </c>
      <c r="AI211" s="139">
        <v>0.6</v>
      </c>
      <c r="AJ211" s="83">
        <f t="shared" si="36"/>
        <v>2880</v>
      </c>
      <c r="AK211" s="83">
        <f t="shared" si="37"/>
        <v>4320</v>
      </c>
      <c r="AL211" s="104">
        <f t="shared" si="38"/>
        <v>5.1418724870763919</v>
      </c>
      <c r="AM211" s="104">
        <f t="shared" si="39"/>
        <v>5.1418724870763919</v>
      </c>
      <c r="AN211" s="83">
        <f t="shared" si="40"/>
        <v>14808.592762780008</v>
      </c>
      <c r="AO211" s="83">
        <f t="shared" si="41"/>
        <v>22212.889144170014</v>
      </c>
      <c r="AP211" s="182">
        <f t="shared" si="42"/>
        <v>50.528991709592177</v>
      </c>
      <c r="AQ211" s="182">
        <f t="shared" si="43"/>
        <v>75.793487564388272</v>
      </c>
      <c r="AR211" s="85"/>
      <c r="AS211" s="85"/>
      <c r="AT211" s="53"/>
      <c r="AU211" s="53"/>
      <c r="AV211" s="53"/>
      <c r="AW211" s="53"/>
      <c r="AX211" s="53"/>
      <c r="AY211" s="53"/>
      <c r="AZ211" s="53"/>
      <c r="BA211" s="53"/>
      <c r="BB211" s="53"/>
      <c r="BC211" s="111">
        <f t="shared" si="44"/>
        <v>14808.592762780008</v>
      </c>
      <c r="BD211" s="111">
        <f t="shared" si="45"/>
        <v>22212.889144170014</v>
      </c>
    </row>
    <row r="212" spans="1:56" ht="15.75" x14ac:dyDescent="0.25">
      <c r="A212" s="53">
        <v>202</v>
      </c>
      <c r="B212" s="53"/>
      <c r="C212" s="53"/>
      <c r="D212" s="53" t="s">
        <v>135</v>
      </c>
      <c r="E212" s="53"/>
      <c r="F212" s="53"/>
      <c r="G212" s="53" t="s">
        <v>290</v>
      </c>
      <c r="H212" s="53" t="s">
        <v>291</v>
      </c>
      <c r="I212" s="85" t="s">
        <v>315</v>
      </c>
      <c r="J212" s="85" t="s">
        <v>316</v>
      </c>
      <c r="K212" s="85" t="s">
        <v>294</v>
      </c>
      <c r="L212" s="53" t="s">
        <v>216</v>
      </c>
      <c r="M212" s="53" t="s">
        <v>295</v>
      </c>
      <c r="N212" s="53"/>
      <c r="O212" s="85" t="s">
        <v>135</v>
      </c>
      <c r="P212" s="53">
        <v>1</v>
      </c>
      <c r="Q212" s="183">
        <v>75</v>
      </c>
      <c r="R212" s="84">
        <v>0.91149999999999998</v>
      </c>
      <c r="S212" s="53">
        <v>92</v>
      </c>
      <c r="T212" s="53"/>
      <c r="U212" s="53">
        <v>3</v>
      </c>
      <c r="V212" s="53">
        <v>480</v>
      </c>
      <c r="W212" s="53"/>
      <c r="X212" s="53"/>
      <c r="Y212" s="53"/>
      <c r="Z212" s="53"/>
      <c r="AA212" s="53"/>
      <c r="AB212" s="53"/>
      <c r="AC212" s="137" t="s">
        <v>124</v>
      </c>
      <c r="AD212" s="138" t="s">
        <v>118</v>
      </c>
      <c r="AE212" s="83">
        <v>8760</v>
      </c>
      <c r="AF212" s="139">
        <v>1</v>
      </c>
      <c r="AG212" s="139">
        <f t="shared" si="46"/>
        <v>0.82191780821917804</v>
      </c>
      <c r="AH212" s="139">
        <v>0.75</v>
      </c>
      <c r="AI212" s="139">
        <v>0.75</v>
      </c>
      <c r="AJ212" s="83">
        <f t="shared" si="36"/>
        <v>2880</v>
      </c>
      <c r="AK212" s="83">
        <f t="shared" si="37"/>
        <v>4320</v>
      </c>
      <c r="AL212" s="104">
        <f t="shared" si="38"/>
        <v>46.036752605595176</v>
      </c>
      <c r="AM212" s="104">
        <f t="shared" si="39"/>
        <v>46.036752605595176</v>
      </c>
      <c r="AN212" s="83">
        <f t="shared" si="40"/>
        <v>132585.84750411409</v>
      </c>
      <c r="AO212" s="83">
        <f t="shared" si="41"/>
        <v>198878.77125617117</v>
      </c>
      <c r="AP212" s="182">
        <f t="shared" si="42"/>
        <v>452.40147370268784</v>
      </c>
      <c r="AQ212" s="182">
        <f t="shared" si="43"/>
        <v>678.6022105540319</v>
      </c>
      <c r="AR212" s="85"/>
      <c r="AS212" s="85"/>
      <c r="AT212" s="53"/>
      <c r="AU212" s="53"/>
      <c r="AV212" s="53"/>
      <c r="AW212" s="53"/>
      <c r="AX212" s="53"/>
      <c r="AY212" s="53"/>
      <c r="AZ212" s="53"/>
      <c r="BA212" s="53"/>
      <c r="BB212" s="53"/>
      <c r="BC212" s="111">
        <f t="shared" si="44"/>
        <v>132585.84750411409</v>
      </c>
      <c r="BD212" s="111">
        <f t="shared" si="45"/>
        <v>198878.77125617117</v>
      </c>
    </row>
    <row r="213" spans="1:56" ht="15.75" x14ac:dyDescent="0.25">
      <c r="A213" s="53">
        <v>203</v>
      </c>
      <c r="B213" s="53"/>
      <c r="C213" s="53"/>
      <c r="D213" s="53" t="s">
        <v>135</v>
      </c>
      <c r="E213" s="53"/>
      <c r="F213" s="53"/>
      <c r="G213" s="53" t="s">
        <v>290</v>
      </c>
      <c r="H213" s="53" t="s">
        <v>291</v>
      </c>
      <c r="I213" s="85" t="s">
        <v>411</v>
      </c>
      <c r="J213" s="85" t="s">
        <v>412</v>
      </c>
      <c r="K213" s="85" t="s">
        <v>365</v>
      </c>
      <c r="L213" s="53" t="s">
        <v>216</v>
      </c>
      <c r="M213" s="53" t="s">
        <v>295</v>
      </c>
      <c r="N213" s="53"/>
      <c r="O213" s="85" t="s">
        <v>413</v>
      </c>
      <c r="P213" s="53">
        <v>1</v>
      </c>
      <c r="Q213" s="183">
        <v>40</v>
      </c>
      <c r="R213" s="84">
        <v>0.89250000000000007</v>
      </c>
      <c r="S213" s="53">
        <v>49</v>
      </c>
      <c r="T213" s="53"/>
      <c r="U213" s="53">
        <v>3</v>
      </c>
      <c r="V213" s="53">
        <v>480</v>
      </c>
      <c r="W213" s="53"/>
      <c r="X213" s="53"/>
      <c r="Y213" s="53"/>
      <c r="Z213" s="53"/>
      <c r="AA213" s="53"/>
      <c r="AB213" s="53"/>
      <c r="AC213" s="137" t="s">
        <v>124</v>
      </c>
      <c r="AD213" s="138" t="s">
        <v>118</v>
      </c>
      <c r="AE213" s="83">
        <v>8760</v>
      </c>
      <c r="AF213" s="139">
        <v>1</v>
      </c>
      <c r="AG213" s="139">
        <f t="shared" si="46"/>
        <v>0.82191780821917804</v>
      </c>
      <c r="AH213" s="139">
        <v>0.6</v>
      </c>
      <c r="AI213" s="139">
        <v>0.6</v>
      </c>
      <c r="AJ213" s="83">
        <f t="shared" si="36"/>
        <v>2880</v>
      </c>
      <c r="AK213" s="83">
        <f t="shared" si="37"/>
        <v>4320</v>
      </c>
      <c r="AL213" s="104">
        <f t="shared" si="38"/>
        <v>20.060504201680669</v>
      </c>
      <c r="AM213" s="104">
        <f t="shared" si="39"/>
        <v>20.060504201680669</v>
      </c>
      <c r="AN213" s="83">
        <f t="shared" si="40"/>
        <v>57774.252100840327</v>
      </c>
      <c r="AO213" s="83">
        <f t="shared" si="41"/>
        <v>86661.378151260491</v>
      </c>
      <c r="AP213" s="182">
        <f t="shared" si="42"/>
        <v>197.13383656336131</v>
      </c>
      <c r="AQ213" s="182">
        <f t="shared" si="43"/>
        <v>295.70075484504201</v>
      </c>
      <c r="AR213" s="85"/>
      <c r="AS213" s="85"/>
      <c r="AT213" s="53"/>
      <c r="AU213" s="53"/>
      <c r="AV213" s="53"/>
      <c r="AW213" s="53"/>
      <c r="AX213" s="53"/>
      <c r="AY213" s="53"/>
      <c r="AZ213" s="53"/>
      <c r="BA213" s="53"/>
      <c r="BB213" s="53"/>
      <c r="BC213" s="111">
        <f t="shared" si="44"/>
        <v>57774.252100840327</v>
      </c>
      <c r="BD213" s="111">
        <f t="shared" si="45"/>
        <v>86661.378151260491</v>
      </c>
    </row>
    <row r="214" spans="1:56" ht="15.75" x14ac:dyDescent="0.25">
      <c r="A214" s="53">
        <v>204</v>
      </c>
      <c r="B214" s="53"/>
      <c r="C214" s="53"/>
      <c r="D214" s="53" t="s">
        <v>135</v>
      </c>
      <c r="E214" s="53"/>
      <c r="F214" s="53"/>
      <c r="G214" s="53" t="s">
        <v>290</v>
      </c>
      <c r="H214" s="53" t="s">
        <v>291</v>
      </c>
      <c r="I214" s="85" t="s">
        <v>411</v>
      </c>
      <c r="J214" s="85" t="s">
        <v>412</v>
      </c>
      <c r="K214" s="85" t="s">
        <v>365</v>
      </c>
      <c r="L214" s="53" t="s">
        <v>216</v>
      </c>
      <c r="M214" s="53" t="s">
        <v>295</v>
      </c>
      <c r="N214" s="53"/>
      <c r="O214" s="85" t="s">
        <v>414</v>
      </c>
      <c r="P214" s="53">
        <v>1</v>
      </c>
      <c r="Q214" s="183">
        <v>40</v>
      </c>
      <c r="R214" s="84">
        <v>0.89250000000000007</v>
      </c>
      <c r="S214" s="53">
        <v>49</v>
      </c>
      <c r="T214" s="53"/>
      <c r="U214" s="53">
        <v>3</v>
      </c>
      <c r="V214" s="53">
        <v>480</v>
      </c>
      <c r="W214" s="53"/>
      <c r="X214" s="53"/>
      <c r="Y214" s="53"/>
      <c r="Z214" s="53"/>
      <c r="AA214" s="53"/>
      <c r="AB214" s="53"/>
      <c r="AC214" s="137" t="s">
        <v>124</v>
      </c>
      <c r="AD214" s="138" t="s">
        <v>118</v>
      </c>
      <c r="AE214" s="83">
        <v>8760</v>
      </c>
      <c r="AF214" s="139">
        <v>1</v>
      </c>
      <c r="AG214" s="139">
        <f t="shared" si="46"/>
        <v>0.82191780821917804</v>
      </c>
      <c r="AH214" s="139">
        <v>0.6</v>
      </c>
      <c r="AI214" s="139">
        <v>0.6</v>
      </c>
      <c r="AJ214" s="83">
        <f t="shared" si="36"/>
        <v>2880</v>
      </c>
      <c r="AK214" s="83">
        <f t="shared" si="37"/>
        <v>4320</v>
      </c>
      <c r="AL214" s="104">
        <f t="shared" si="38"/>
        <v>20.060504201680669</v>
      </c>
      <c r="AM214" s="104">
        <f t="shared" si="39"/>
        <v>20.060504201680669</v>
      </c>
      <c r="AN214" s="83">
        <f t="shared" si="40"/>
        <v>57774.252100840327</v>
      </c>
      <c r="AO214" s="83">
        <f t="shared" si="41"/>
        <v>86661.378151260491</v>
      </c>
      <c r="AP214" s="182">
        <f t="shared" si="42"/>
        <v>197.13383656336131</v>
      </c>
      <c r="AQ214" s="182">
        <f t="shared" si="43"/>
        <v>295.70075484504201</v>
      </c>
      <c r="AR214" s="85"/>
      <c r="AS214" s="85"/>
      <c r="AT214" s="53"/>
      <c r="AU214" s="53"/>
      <c r="AV214" s="53"/>
      <c r="AW214" s="53"/>
      <c r="AX214" s="53"/>
      <c r="AY214" s="53"/>
      <c r="AZ214" s="53"/>
      <c r="BA214" s="53"/>
      <c r="BB214" s="53"/>
      <c r="BC214" s="111">
        <f t="shared" si="44"/>
        <v>57774.252100840327</v>
      </c>
      <c r="BD214" s="111">
        <f t="shared" si="45"/>
        <v>86661.378151260491</v>
      </c>
    </row>
    <row r="215" spans="1:56" ht="15.75" x14ac:dyDescent="0.25">
      <c r="A215" s="53">
        <v>205</v>
      </c>
      <c r="B215" s="53"/>
      <c r="C215" s="53"/>
      <c r="D215" s="53" t="s">
        <v>135</v>
      </c>
      <c r="E215" s="53"/>
      <c r="F215" s="53"/>
      <c r="G215" s="53" t="s">
        <v>290</v>
      </c>
      <c r="H215" s="53" t="s">
        <v>291</v>
      </c>
      <c r="I215" s="85" t="s">
        <v>411</v>
      </c>
      <c r="J215" s="85" t="s">
        <v>412</v>
      </c>
      <c r="K215" s="85" t="s">
        <v>365</v>
      </c>
      <c r="L215" s="53" t="s">
        <v>216</v>
      </c>
      <c r="M215" s="53" t="s">
        <v>295</v>
      </c>
      <c r="N215" s="53"/>
      <c r="O215" s="85" t="s">
        <v>415</v>
      </c>
      <c r="P215" s="53">
        <v>1</v>
      </c>
      <c r="Q215" s="183">
        <v>40</v>
      </c>
      <c r="R215" s="84">
        <v>0.89250000000000007</v>
      </c>
      <c r="S215" s="53">
        <v>49</v>
      </c>
      <c r="T215" s="53"/>
      <c r="U215" s="53">
        <v>3</v>
      </c>
      <c r="V215" s="53">
        <v>480</v>
      </c>
      <c r="W215" s="53"/>
      <c r="X215" s="53"/>
      <c r="Y215" s="53"/>
      <c r="Z215" s="53"/>
      <c r="AA215" s="53"/>
      <c r="AB215" s="53"/>
      <c r="AC215" s="137" t="s">
        <v>124</v>
      </c>
      <c r="AD215" s="138" t="s">
        <v>118</v>
      </c>
      <c r="AE215" s="83">
        <v>8760</v>
      </c>
      <c r="AF215" s="139">
        <v>1</v>
      </c>
      <c r="AG215" s="139">
        <f t="shared" si="46"/>
        <v>0.82191780821917804</v>
      </c>
      <c r="AH215" s="139">
        <v>0.6</v>
      </c>
      <c r="AI215" s="139">
        <v>0.6</v>
      </c>
      <c r="AJ215" s="83">
        <f t="shared" si="36"/>
        <v>2880</v>
      </c>
      <c r="AK215" s="83">
        <f t="shared" si="37"/>
        <v>4320</v>
      </c>
      <c r="AL215" s="104">
        <f t="shared" si="38"/>
        <v>20.060504201680669</v>
      </c>
      <c r="AM215" s="104">
        <f t="shared" si="39"/>
        <v>20.060504201680669</v>
      </c>
      <c r="AN215" s="83">
        <f t="shared" si="40"/>
        <v>57774.252100840327</v>
      </c>
      <c r="AO215" s="83">
        <f t="shared" si="41"/>
        <v>86661.378151260491</v>
      </c>
      <c r="AP215" s="182">
        <f t="shared" si="42"/>
        <v>197.13383656336131</v>
      </c>
      <c r="AQ215" s="182">
        <f t="shared" si="43"/>
        <v>295.70075484504201</v>
      </c>
      <c r="AR215" s="85"/>
      <c r="AS215" s="85"/>
      <c r="AT215" s="53"/>
      <c r="AU215" s="53"/>
      <c r="AV215" s="53"/>
      <c r="AW215" s="53"/>
      <c r="AX215" s="53"/>
      <c r="AY215" s="53"/>
      <c r="AZ215" s="53"/>
      <c r="BA215" s="53"/>
      <c r="BB215" s="53"/>
      <c r="BC215" s="111">
        <f t="shared" si="44"/>
        <v>57774.252100840327</v>
      </c>
      <c r="BD215" s="111">
        <f t="shared" si="45"/>
        <v>86661.378151260491</v>
      </c>
    </row>
    <row r="216" spans="1:56" ht="15.75" x14ac:dyDescent="0.25">
      <c r="A216" s="53">
        <v>206</v>
      </c>
      <c r="B216" s="53"/>
      <c r="C216" s="53"/>
      <c r="D216" s="53" t="s">
        <v>135</v>
      </c>
      <c r="E216" s="53"/>
      <c r="F216" s="53"/>
      <c r="G216" s="53" t="s">
        <v>290</v>
      </c>
      <c r="H216" s="53" t="s">
        <v>291</v>
      </c>
      <c r="I216" s="85" t="s">
        <v>411</v>
      </c>
      <c r="J216" s="85" t="s">
        <v>412</v>
      </c>
      <c r="K216" s="85" t="s">
        <v>365</v>
      </c>
      <c r="L216" s="53" t="s">
        <v>216</v>
      </c>
      <c r="M216" s="53" t="s">
        <v>295</v>
      </c>
      <c r="N216" s="53"/>
      <c r="O216" s="85" t="s">
        <v>416</v>
      </c>
      <c r="P216" s="53">
        <v>1</v>
      </c>
      <c r="Q216" s="183">
        <v>40</v>
      </c>
      <c r="R216" s="84">
        <v>0.89250000000000007</v>
      </c>
      <c r="S216" s="53">
        <v>49</v>
      </c>
      <c r="T216" s="53"/>
      <c r="U216" s="53">
        <v>3</v>
      </c>
      <c r="V216" s="53">
        <v>480</v>
      </c>
      <c r="W216" s="53"/>
      <c r="X216" s="53"/>
      <c r="Y216" s="53"/>
      <c r="Z216" s="53"/>
      <c r="AA216" s="53"/>
      <c r="AB216" s="53"/>
      <c r="AC216" s="137" t="s">
        <v>124</v>
      </c>
      <c r="AD216" s="138" t="s">
        <v>118</v>
      </c>
      <c r="AE216" s="83">
        <v>8760</v>
      </c>
      <c r="AF216" s="139">
        <v>1</v>
      </c>
      <c r="AG216" s="139">
        <f t="shared" si="46"/>
        <v>0.82191780821917804</v>
      </c>
      <c r="AH216" s="139">
        <v>0.6</v>
      </c>
      <c r="AI216" s="139">
        <v>0.6</v>
      </c>
      <c r="AJ216" s="83">
        <f t="shared" si="36"/>
        <v>2880</v>
      </c>
      <c r="AK216" s="83">
        <f t="shared" si="37"/>
        <v>4320</v>
      </c>
      <c r="AL216" s="104">
        <f t="shared" si="38"/>
        <v>20.060504201680669</v>
      </c>
      <c r="AM216" s="104">
        <f t="shared" si="39"/>
        <v>20.060504201680669</v>
      </c>
      <c r="AN216" s="83">
        <f t="shared" si="40"/>
        <v>57774.252100840327</v>
      </c>
      <c r="AO216" s="83">
        <f t="shared" si="41"/>
        <v>86661.378151260491</v>
      </c>
      <c r="AP216" s="182">
        <f t="shared" si="42"/>
        <v>197.13383656336131</v>
      </c>
      <c r="AQ216" s="182">
        <f t="shared" si="43"/>
        <v>295.70075484504201</v>
      </c>
      <c r="AR216" s="85"/>
      <c r="AS216" s="85"/>
      <c r="AT216" s="53"/>
      <c r="AU216" s="53"/>
      <c r="AV216" s="53"/>
      <c r="AW216" s="53"/>
      <c r="AX216" s="53"/>
      <c r="AY216" s="53"/>
      <c r="AZ216" s="53"/>
      <c r="BA216" s="53"/>
      <c r="BB216" s="53"/>
      <c r="BC216" s="111">
        <f t="shared" si="44"/>
        <v>57774.252100840327</v>
      </c>
      <c r="BD216" s="111">
        <f t="shared" si="45"/>
        <v>86661.378151260491</v>
      </c>
    </row>
    <row r="217" spans="1:56" ht="15.75" x14ac:dyDescent="0.25">
      <c r="A217" s="53">
        <v>207</v>
      </c>
      <c r="B217" s="53"/>
      <c r="C217" s="53"/>
      <c r="D217" s="53" t="s">
        <v>135</v>
      </c>
      <c r="E217" s="53"/>
      <c r="F217" s="53"/>
      <c r="G217" s="53" t="s">
        <v>290</v>
      </c>
      <c r="H217" s="53" t="s">
        <v>291</v>
      </c>
      <c r="I217" s="85" t="s">
        <v>542</v>
      </c>
      <c r="J217" s="85" t="s">
        <v>533</v>
      </c>
      <c r="K217" s="85" t="s">
        <v>448</v>
      </c>
      <c r="L217" s="53" t="s">
        <v>216</v>
      </c>
      <c r="M217" s="53" t="s">
        <v>252</v>
      </c>
      <c r="N217" s="53"/>
      <c r="O217" s="85" t="s">
        <v>135</v>
      </c>
      <c r="P217" s="53">
        <v>1</v>
      </c>
      <c r="Q217" s="183">
        <v>20</v>
      </c>
      <c r="R217" s="84">
        <v>0.89700000000000002</v>
      </c>
      <c r="S217" s="53">
        <v>27</v>
      </c>
      <c r="T217" s="53"/>
      <c r="U217" s="53">
        <v>3</v>
      </c>
      <c r="V217" s="53">
        <v>480</v>
      </c>
      <c r="W217" s="53"/>
      <c r="X217" s="53"/>
      <c r="Y217" s="53"/>
      <c r="Z217" s="53"/>
      <c r="AA217" s="53"/>
      <c r="AB217" s="53"/>
      <c r="AC217" s="137" t="s">
        <v>124</v>
      </c>
      <c r="AD217" s="138" t="s">
        <v>118</v>
      </c>
      <c r="AE217" s="83">
        <v>8760</v>
      </c>
      <c r="AF217" s="139">
        <v>1</v>
      </c>
      <c r="AG217" s="139">
        <f t="shared" si="46"/>
        <v>0.82191780821917804</v>
      </c>
      <c r="AH217" s="139">
        <v>0.6</v>
      </c>
      <c r="AI217" s="139">
        <v>0.6</v>
      </c>
      <c r="AJ217" s="83">
        <f t="shared" si="36"/>
        <v>2880</v>
      </c>
      <c r="AK217" s="83">
        <f t="shared" si="37"/>
        <v>4320</v>
      </c>
      <c r="AL217" s="104">
        <f t="shared" si="38"/>
        <v>9.9799331103678917</v>
      </c>
      <c r="AM217" s="104">
        <f t="shared" si="39"/>
        <v>9.9799331103678917</v>
      </c>
      <c r="AN217" s="83">
        <f t="shared" si="40"/>
        <v>28742.207357859526</v>
      </c>
      <c r="AO217" s="83">
        <f t="shared" si="41"/>
        <v>43113.311036789295</v>
      </c>
      <c r="AP217" s="182">
        <f t="shared" si="42"/>
        <v>98.072435414046794</v>
      </c>
      <c r="AQ217" s="182">
        <f t="shared" si="43"/>
        <v>147.1086531210702</v>
      </c>
      <c r="AR217" s="85"/>
      <c r="AS217" s="85"/>
      <c r="AT217" s="53"/>
      <c r="AU217" s="53"/>
      <c r="AV217" s="53"/>
      <c r="AW217" s="53"/>
      <c r="AX217" s="53"/>
      <c r="AY217" s="53"/>
      <c r="AZ217" s="53"/>
      <c r="BA217" s="53"/>
      <c r="BB217" s="53"/>
      <c r="BC217" s="111">
        <f t="shared" si="44"/>
        <v>28742.207357859526</v>
      </c>
      <c r="BD217" s="111">
        <f t="shared" si="45"/>
        <v>43113.311036789295</v>
      </c>
    </row>
    <row r="218" spans="1:56" ht="15.75" x14ac:dyDescent="0.25">
      <c r="A218" s="53">
        <v>208</v>
      </c>
      <c r="B218" s="53"/>
      <c r="C218" s="53"/>
      <c r="D218" s="53" t="s">
        <v>135</v>
      </c>
      <c r="E218" s="53"/>
      <c r="F218" s="53"/>
      <c r="G218" s="53" t="s">
        <v>290</v>
      </c>
      <c r="H218" s="53" t="s">
        <v>291</v>
      </c>
      <c r="I218" s="85" t="s">
        <v>542</v>
      </c>
      <c r="J218" s="85" t="s">
        <v>535</v>
      </c>
      <c r="K218" s="85" t="s">
        <v>448</v>
      </c>
      <c r="L218" s="53" t="s">
        <v>216</v>
      </c>
      <c r="M218" s="53" t="s">
        <v>252</v>
      </c>
      <c r="N218" s="53"/>
      <c r="O218" s="85" t="s">
        <v>135</v>
      </c>
      <c r="P218" s="53">
        <v>1</v>
      </c>
      <c r="Q218" s="183">
        <v>20</v>
      </c>
      <c r="R218" s="84">
        <v>0.89700000000000002</v>
      </c>
      <c r="S218" s="53">
        <v>27</v>
      </c>
      <c r="T218" s="53"/>
      <c r="U218" s="53">
        <v>3</v>
      </c>
      <c r="V218" s="53">
        <v>480</v>
      </c>
      <c r="W218" s="53"/>
      <c r="X218" s="53"/>
      <c r="Y218" s="53"/>
      <c r="Z218" s="53"/>
      <c r="AA218" s="53"/>
      <c r="AB218" s="53"/>
      <c r="AC218" s="137" t="s">
        <v>124</v>
      </c>
      <c r="AD218" s="138" t="s">
        <v>118</v>
      </c>
      <c r="AE218" s="83">
        <v>8760</v>
      </c>
      <c r="AF218" s="139">
        <v>1</v>
      </c>
      <c r="AG218" s="139">
        <f t="shared" si="46"/>
        <v>0.82191780821917804</v>
      </c>
      <c r="AH218" s="139">
        <v>0.6</v>
      </c>
      <c r="AI218" s="139">
        <v>0.6</v>
      </c>
      <c r="AJ218" s="83">
        <f t="shared" si="36"/>
        <v>2880</v>
      </c>
      <c r="AK218" s="83">
        <f t="shared" si="37"/>
        <v>4320</v>
      </c>
      <c r="AL218" s="104">
        <f t="shared" si="38"/>
        <v>9.9799331103678917</v>
      </c>
      <c r="AM218" s="104">
        <f t="shared" si="39"/>
        <v>9.9799331103678917</v>
      </c>
      <c r="AN218" s="83">
        <f t="shared" si="40"/>
        <v>28742.207357859526</v>
      </c>
      <c r="AO218" s="83">
        <f t="shared" si="41"/>
        <v>43113.311036789295</v>
      </c>
      <c r="AP218" s="182">
        <f t="shared" si="42"/>
        <v>98.072435414046794</v>
      </c>
      <c r="AQ218" s="182">
        <f t="shared" si="43"/>
        <v>147.1086531210702</v>
      </c>
      <c r="AR218" s="85"/>
      <c r="AS218" s="85"/>
      <c r="AT218" s="53"/>
      <c r="AU218" s="53"/>
      <c r="AV218" s="53"/>
      <c r="AW218" s="53"/>
      <c r="AX218" s="53"/>
      <c r="AY218" s="53"/>
      <c r="AZ218" s="53"/>
      <c r="BA218" s="53"/>
      <c r="BB218" s="53"/>
      <c r="BC218" s="111">
        <f t="shared" si="44"/>
        <v>28742.207357859526</v>
      </c>
      <c r="BD218" s="111">
        <f t="shared" si="45"/>
        <v>43113.311036789295</v>
      </c>
    </row>
    <row r="219" spans="1:56" ht="21" customHeight="1" x14ac:dyDescent="0.25">
      <c r="A219" s="53">
        <v>209</v>
      </c>
      <c r="B219" s="53"/>
      <c r="C219" s="53"/>
      <c r="D219" s="53" t="s">
        <v>135</v>
      </c>
      <c r="E219" s="53"/>
      <c r="F219" s="53"/>
      <c r="G219" s="53" t="s">
        <v>290</v>
      </c>
      <c r="H219" s="53" t="s">
        <v>291</v>
      </c>
      <c r="I219" s="85" t="s">
        <v>542</v>
      </c>
      <c r="J219" s="85" t="s">
        <v>847</v>
      </c>
      <c r="K219" s="85" t="s">
        <v>448</v>
      </c>
      <c r="L219" s="53" t="s">
        <v>216</v>
      </c>
      <c r="M219" s="53" t="s">
        <v>252</v>
      </c>
      <c r="N219" s="53"/>
      <c r="O219" s="85" t="s">
        <v>135</v>
      </c>
      <c r="P219" s="53">
        <v>1</v>
      </c>
      <c r="Q219" s="183">
        <v>2</v>
      </c>
      <c r="R219" s="84">
        <v>0.87050000000000005</v>
      </c>
      <c r="S219" s="53">
        <v>3.4</v>
      </c>
      <c r="T219" s="53"/>
      <c r="U219" s="53">
        <v>3</v>
      </c>
      <c r="V219" s="53">
        <v>480</v>
      </c>
      <c r="W219" s="53"/>
      <c r="X219" s="53"/>
      <c r="Y219" s="53"/>
      <c r="Z219" s="53"/>
      <c r="AA219" s="53"/>
      <c r="AB219" s="53"/>
      <c r="AC219" s="137" t="s">
        <v>124</v>
      </c>
      <c r="AD219" s="138" t="s">
        <v>118</v>
      </c>
      <c r="AE219" s="83">
        <v>8760</v>
      </c>
      <c r="AF219" s="139">
        <v>1</v>
      </c>
      <c r="AG219" s="139">
        <f t="shared" si="46"/>
        <v>0.82191780821917804</v>
      </c>
      <c r="AH219" s="139">
        <v>0.6</v>
      </c>
      <c r="AI219" s="139">
        <v>0.6</v>
      </c>
      <c r="AJ219" s="83">
        <f t="shared" si="36"/>
        <v>2880</v>
      </c>
      <c r="AK219" s="83">
        <f t="shared" si="37"/>
        <v>4320</v>
      </c>
      <c r="AL219" s="104">
        <f t="shared" si="38"/>
        <v>1.0283744974152784</v>
      </c>
      <c r="AM219" s="104">
        <f t="shared" si="39"/>
        <v>1.0283744974152784</v>
      </c>
      <c r="AN219" s="83">
        <f t="shared" si="40"/>
        <v>2961.7185525560017</v>
      </c>
      <c r="AO219" s="83">
        <f t="shared" si="41"/>
        <v>4442.5778288340025</v>
      </c>
      <c r="AP219" s="182">
        <f t="shared" si="42"/>
        <v>10.105798341918435</v>
      </c>
      <c r="AQ219" s="182">
        <f t="shared" si="43"/>
        <v>15.158697512877652</v>
      </c>
      <c r="AR219" s="85"/>
      <c r="AS219" s="85"/>
      <c r="AT219" s="53"/>
      <c r="AU219" s="53"/>
      <c r="AV219" s="53"/>
      <c r="AW219" s="53"/>
      <c r="AX219" s="53"/>
      <c r="AY219" s="53"/>
      <c r="AZ219" s="53"/>
      <c r="BA219" s="53"/>
      <c r="BB219" s="53"/>
      <c r="BC219" s="111">
        <f t="shared" si="44"/>
        <v>2961.7185525560017</v>
      </c>
      <c r="BD219" s="111">
        <f t="shared" si="45"/>
        <v>4442.5778288340025</v>
      </c>
    </row>
    <row r="220" spans="1:56" ht="21" customHeight="1" x14ac:dyDescent="0.25">
      <c r="A220" s="53">
        <v>210</v>
      </c>
      <c r="B220" s="53"/>
      <c r="C220" s="53"/>
      <c r="D220" s="53" t="s">
        <v>135</v>
      </c>
      <c r="E220" s="53"/>
      <c r="F220" s="53"/>
      <c r="G220" s="53" t="s">
        <v>290</v>
      </c>
      <c r="H220" s="53" t="s">
        <v>291</v>
      </c>
      <c r="I220" s="85" t="s">
        <v>411</v>
      </c>
      <c r="J220" s="85" t="s">
        <v>795</v>
      </c>
      <c r="K220" s="85" t="s">
        <v>365</v>
      </c>
      <c r="L220" s="53" t="s">
        <v>216</v>
      </c>
      <c r="M220" s="53" t="s">
        <v>295</v>
      </c>
      <c r="N220" s="53"/>
      <c r="O220" s="85" t="s">
        <v>796</v>
      </c>
      <c r="P220" s="53">
        <v>1</v>
      </c>
      <c r="Q220" s="183">
        <v>3</v>
      </c>
      <c r="R220" s="84">
        <v>0.87050000000000005</v>
      </c>
      <c r="S220" s="53">
        <v>4.5</v>
      </c>
      <c r="T220" s="53"/>
      <c r="U220" s="53">
        <v>3</v>
      </c>
      <c r="V220" s="53">
        <v>480</v>
      </c>
      <c r="W220" s="53"/>
      <c r="X220" s="53"/>
      <c r="Y220" s="53"/>
      <c r="Z220" s="53"/>
      <c r="AA220" s="53"/>
      <c r="AB220" s="53"/>
      <c r="AC220" s="137" t="s">
        <v>124</v>
      </c>
      <c r="AD220" s="138" t="s">
        <v>118</v>
      </c>
      <c r="AE220" s="83">
        <v>8760</v>
      </c>
      <c r="AF220" s="139">
        <v>1</v>
      </c>
      <c r="AG220" s="139">
        <f t="shared" si="46"/>
        <v>0.82191780821917804</v>
      </c>
      <c r="AH220" s="139">
        <v>0.6</v>
      </c>
      <c r="AI220" s="139">
        <v>0.6</v>
      </c>
      <c r="AJ220" s="83">
        <f t="shared" si="36"/>
        <v>2880</v>
      </c>
      <c r="AK220" s="83">
        <f t="shared" si="37"/>
        <v>4320</v>
      </c>
      <c r="AL220" s="104">
        <f t="shared" si="38"/>
        <v>1.5425617461229177</v>
      </c>
      <c r="AM220" s="104">
        <f t="shared" si="39"/>
        <v>1.5425617461229177</v>
      </c>
      <c r="AN220" s="83">
        <f t="shared" si="40"/>
        <v>4442.5778288340034</v>
      </c>
      <c r="AO220" s="83">
        <f t="shared" si="41"/>
        <v>6663.8667432510047</v>
      </c>
      <c r="AP220" s="182">
        <f t="shared" si="42"/>
        <v>15.158697512877657</v>
      </c>
      <c r="AQ220" s="182">
        <f t="shared" si="43"/>
        <v>22.738046269316484</v>
      </c>
      <c r="AR220" s="85"/>
      <c r="AS220" s="85"/>
      <c r="AT220" s="53"/>
      <c r="AU220" s="53"/>
      <c r="AV220" s="53"/>
      <c r="AW220" s="53"/>
      <c r="AX220" s="53"/>
      <c r="AY220" s="53"/>
      <c r="AZ220" s="53"/>
      <c r="BA220" s="53"/>
      <c r="BB220" s="53"/>
      <c r="BC220" s="111">
        <f t="shared" si="44"/>
        <v>4442.5778288340034</v>
      </c>
      <c r="BD220" s="111">
        <f t="shared" si="45"/>
        <v>6663.8667432510047</v>
      </c>
    </row>
    <row r="221" spans="1:56" ht="21" customHeight="1" x14ac:dyDescent="0.25">
      <c r="A221" s="53">
        <v>211</v>
      </c>
      <c r="B221" s="53"/>
      <c r="C221" s="53"/>
      <c r="D221" s="53" t="s">
        <v>135</v>
      </c>
      <c r="E221" s="53"/>
      <c r="F221" s="53"/>
      <c r="G221" s="53" t="s">
        <v>290</v>
      </c>
      <c r="H221" s="53" t="s">
        <v>291</v>
      </c>
      <c r="I221" s="85" t="s">
        <v>411</v>
      </c>
      <c r="J221" s="85" t="s">
        <v>725</v>
      </c>
      <c r="K221" s="85" t="s">
        <v>721</v>
      </c>
      <c r="L221" s="53" t="s">
        <v>722</v>
      </c>
      <c r="M221" s="53" t="s">
        <v>723</v>
      </c>
      <c r="N221" s="53"/>
      <c r="O221" s="85" t="s">
        <v>724</v>
      </c>
      <c r="P221" s="53">
        <v>1</v>
      </c>
      <c r="Q221" s="183">
        <v>0</v>
      </c>
      <c r="R221" s="84"/>
      <c r="S221" s="53">
        <v>16.7</v>
      </c>
      <c r="T221" s="53"/>
      <c r="U221" s="163">
        <v>3</v>
      </c>
      <c r="V221" s="163">
        <v>480</v>
      </c>
      <c r="W221" s="53"/>
      <c r="X221" s="53"/>
      <c r="Y221" s="53"/>
      <c r="Z221" s="53"/>
      <c r="AA221" s="53"/>
      <c r="AB221" s="53"/>
      <c r="AC221" s="137" t="s">
        <v>117</v>
      </c>
      <c r="AD221" s="138" t="s">
        <v>118</v>
      </c>
      <c r="AE221" s="83">
        <v>8760</v>
      </c>
      <c r="AF221" s="139">
        <v>1</v>
      </c>
      <c r="AG221" s="139">
        <f t="shared" si="46"/>
        <v>0.82191780821917804</v>
      </c>
      <c r="AH221" s="139">
        <v>0.25</v>
      </c>
      <c r="AI221" s="139">
        <v>0.25</v>
      </c>
      <c r="AJ221" s="83">
        <f t="shared" si="36"/>
        <v>2880</v>
      </c>
      <c r="AK221" s="83">
        <f t="shared" si="37"/>
        <v>4320</v>
      </c>
      <c r="AL221" s="104">
        <f t="shared" si="38"/>
        <v>3.1238351999999998</v>
      </c>
      <c r="AM221" s="104">
        <f t="shared" si="39"/>
        <v>3.1238351999999998</v>
      </c>
      <c r="AN221" s="83">
        <f t="shared" si="40"/>
        <v>8996.6453759999986</v>
      </c>
      <c r="AO221" s="83">
        <f t="shared" si="41"/>
        <v>13494.968063999999</v>
      </c>
      <c r="AP221" s="182">
        <f t="shared" si="42"/>
        <v>30.697813553264634</v>
      </c>
      <c r="AQ221" s="182">
        <f t="shared" si="43"/>
        <v>46.046720329896957</v>
      </c>
      <c r="AR221" s="85"/>
      <c r="AS221" s="85"/>
      <c r="AT221" s="53"/>
      <c r="AU221" s="53"/>
      <c r="AV221" s="53"/>
      <c r="AW221" s="53"/>
      <c r="AX221" s="53"/>
      <c r="AY221" s="53"/>
      <c r="AZ221" s="53"/>
      <c r="BA221" s="53"/>
      <c r="BB221" s="53"/>
      <c r="BC221" s="111">
        <f t="shared" si="44"/>
        <v>8996.6453759999986</v>
      </c>
      <c r="BD221" s="111">
        <f t="shared" si="45"/>
        <v>13494.968063999999</v>
      </c>
    </row>
    <row r="222" spans="1:56" ht="21" customHeight="1" x14ac:dyDescent="0.25">
      <c r="A222" s="53">
        <v>212</v>
      </c>
      <c r="B222" s="53"/>
      <c r="C222" s="53"/>
      <c r="D222" s="53" t="s">
        <v>135</v>
      </c>
      <c r="E222" s="53"/>
      <c r="F222" s="53"/>
      <c r="G222" s="53" t="s">
        <v>290</v>
      </c>
      <c r="H222" s="53" t="s">
        <v>291</v>
      </c>
      <c r="I222" s="85" t="s">
        <v>638</v>
      </c>
      <c r="J222" s="85" t="s">
        <v>665</v>
      </c>
      <c r="K222" s="85" t="s">
        <v>294</v>
      </c>
      <c r="L222" s="53" t="s">
        <v>216</v>
      </c>
      <c r="M222" s="53" t="s">
        <v>295</v>
      </c>
      <c r="N222" s="53"/>
      <c r="O222" s="85" t="s">
        <v>135</v>
      </c>
      <c r="P222" s="53">
        <v>1</v>
      </c>
      <c r="Q222" s="183">
        <v>10</v>
      </c>
      <c r="R222" s="84">
        <v>0.87050000000000005</v>
      </c>
      <c r="S222" s="53"/>
      <c r="T222" s="53"/>
      <c r="U222" s="53">
        <v>3</v>
      </c>
      <c r="V222" s="53">
        <v>480</v>
      </c>
      <c r="W222" s="53"/>
      <c r="X222" s="53"/>
      <c r="Y222" s="53"/>
      <c r="Z222" s="53"/>
      <c r="AA222" s="53"/>
      <c r="AB222" s="53"/>
      <c r="AC222" s="137" t="s">
        <v>124</v>
      </c>
      <c r="AD222" s="138" t="s">
        <v>118</v>
      </c>
      <c r="AE222" s="83">
        <v>8760</v>
      </c>
      <c r="AF222" s="139">
        <v>1</v>
      </c>
      <c r="AG222" s="139">
        <f t="shared" si="46"/>
        <v>0.82191780821917804</v>
      </c>
      <c r="AH222" s="139">
        <v>0.6</v>
      </c>
      <c r="AI222" s="139">
        <v>0.6</v>
      </c>
      <c r="AJ222" s="83">
        <f t="shared" si="36"/>
        <v>2880</v>
      </c>
      <c r="AK222" s="83">
        <f t="shared" si="37"/>
        <v>4320</v>
      </c>
      <c r="AL222" s="104">
        <f t="shared" si="38"/>
        <v>5.1418724870763919</v>
      </c>
      <c r="AM222" s="104">
        <f t="shared" si="39"/>
        <v>5.1418724870763919</v>
      </c>
      <c r="AN222" s="83">
        <f t="shared" si="40"/>
        <v>14808.592762780008</v>
      </c>
      <c r="AO222" s="83">
        <f t="shared" si="41"/>
        <v>22212.889144170014</v>
      </c>
      <c r="AP222" s="182">
        <f t="shared" si="42"/>
        <v>50.528991709592177</v>
      </c>
      <c r="AQ222" s="182">
        <f t="shared" si="43"/>
        <v>75.793487564388272</v>
      </c>
      <c r="AR222" s="85"/>
      <c r="AS222" s="85"/>
      <c r="AT222" s="53"/>
      <c r="AU222" s="53"/>
      <c r="AV222" s="53"/>
      <c r="AW222" s="53"/>
      <c r="AX222" s="53"/>
      <c r="AY222" s="53"/>
      <c r="AZ222" s="53"/>
      <c r="BA222" s="53"/>
      <c r="BB222" s="53"/>
      <c r="BC222" s="111">
        <f t="shared" si="44"/>
        <v>14808.592762780008</v>
      </c>
      <c r="BD222" s="111">
        <f t="shared" si="45"/>
        <v>22212.889144170014</v>
      </c>
    </row>
    <row r="223" spans="1:56" ht="21" customHeight="1" x14ac:dyDescent="0.25">
      <c r="A223" s="53">
        <v>213</v>
      </c>
      <c r="B223" s="53"/>
      <c r="C223" s="53"/>
      <c r="D223" s="53" t="s">
        <v>135</v>
      </c>
      <c r="E223" s="53"/>
      <c r="F223" s="53"/>
      <c r="G223" s="53" t="s">
        <v>290</v>
      </c>
      <c r="H223" s="53" t="s">
        <v>291</v>
      </c>
      <c r="I223" s="85" t="s">
        <v>638</v>
      </c>
      <c r="J223" s="85" t="s">
        <v>932</v>
      </c>
      <c r="K223" s="85" t="s">
        <v>360</v>
      </c>
      <c r="L223" s="53" t="s">
        <v>216</v>
      </c>
      <c r="M223" s="53" t="s">
        <v>361</v>
      </c>
      <c r="N223" s="53"/>
      <c r="O223" s="85" t="s">
        <v>135</v>
      </c>
      <c r="P223" s="53">
        <v>1</v>
      </c>
      <c r="Q223" s="183">
        <v>0.75</v>
      </c>
      <c r="R223" s="84">
        <v>0.87050000000000005</v>
      </c>
      <c r="S223" s="53"/>
      <c r="T223" s="53"/>
      <c r="U223" s="53">
        <v>3</v>
      </c>
      <c r="V223" s="53">
        <v>480</v>
      </c>
      <c r="W223" s="53"/>
      <c r="X223" s="53"/>
      <c r="Y223" s="53"/>
      <c r="Z223" s="53"/>
      <c r="AA223" s="53"/>
      <c r="AB223" s="53"/>
      <c r="AC223" s="137" t="s">
        <v>124</v>
      </c>
      <c r="AD223" s="138" t="s">
        <v>118</v>
      </c>
      <c r="AE223" s="83">
        <v>8760</v>
      </c>
      <c r="AF223" s="139">
        <v>1</v>
      </c>
      <c r="AG223" s="139">
        <f t="shared" si="46"/>
        <v>0.82191780821917804</v>
      </c>
      <c r="AH223" s="139">
        <v>0.75</v>
      </c>
      <c r="AI223" s="139">
        <v>0.75</v>
      </c>
      <c r="AJ223" s="83">
        <f t="shared" si="36"/>
        <v>2880</v>
      </c>
      <c r="AK223" s="83">
        <f t="shared" si="37"/>
        <v>4320</v>
      </c>
      <c r="AL223" s="104">
        <f t="shared" si="38"/>
        <v>0.48205054566341182</v>
      </c>
      <c r="AM223" s="104">
        <f t="shared" si="39"/>
        <v>0.48205054566341182</v>
      </c>
      <c r="AN223" s="83">
        <f t="shared" si="40"/>
        <v>1388.3055715106261</v>
      </c>
      <c r="AO223" s="83">
        <f t="shared" si="41"/>
        <v>2082.458357265939</v>
      </c>
      <c r="AP223" s="182">
        <f t="shared" si="42"/>
        <v>4.737092972774267</v>
      </c>
      <c r="AQ223" s="182">
        <f t="shared" si="43"/>
        <v>7.1056394591614005</v>
      </c>
      <c r="AR223" s="85"/>
      <c r="AS223" s="85"/>
      <c r="AT223" s="53"/>
      <c r="AU223" s="53"/>
      <c r="AV223" s="53"/>
      <c r="AW223" s="53"/>
      <c r="AX223" s="53"/>
      <c r="AY223" s="53"/>
      <c r="AZ223" s="53"/>
      <c r="BA223" s="53"/>
      <c r="BB223" s="53"/>
      <c r="BC223" s="111">
        <f t="shared" si="44"/>
        <v>1388.3055715106261</v>
      </c>
      <c r="BD223" s="111">
        <f t="shared" si="45"/>
        <v>2082.458357265939</v>
      </c>
    </row>
    <row r="224" spans="1:56" ht="21" customHeight="1" x14ac:dyDescent="0.25">
      <c r="A224" s="53">
        <v>214</v>
      </c>
      <c r="B224" s="53"/>
      <c r="C224" s="53"/>
      <c r="D224" s="53" t="s">
        <v>135</v>
      </c>
      <c r="E224" s="53"/>
      <c r="F224" s="53"/>
      <c r="G224" s="53" t="s">
        <v>290</v>
      </c>
      <c r="H224" s="53" t="s">
        <v>291</v>
      </c>
      <c r="I224" s="85" t="s">
        <v>638</v>
      </c>
      <c r="J224" s="85" t="s">
        <v>669</v>
      </c>
      <c r="K224" s="85" t="s">
        <v>670</v>
      </c>
      <c r="L224" s="53" t="s">
        <v>216</v>
      </c>
      <c r="M224" s="53" t="s">
        <v>295</v>
      </c>
      <c r="N224" s="53"/>
      <c r="O224" s="85" t="s">
        <v>135</v>
      </c>
      <c r="P224" s="53">
        <v>1</v>
      </c>
      <c r="Q224" s="183">
        <v>7.5</v>
      </c>
      <c r="R224" s="84">
        <v>0.87050000000000005</v>
      </c>
      <c r="S224" s="53"/>
      <c r="T224" s="53"/>
      <c r="U224" s="53">
        <v>3</v>
      </c>
      <c r="V224" s="53">
        <v>480</v>
      </c>
      <c r="W224" s="53"/>
      <c r="X224" s="53"/>
      <c r="Y224" s="53"/>
      <c r="Z224" s="53"/>
      <c r="AA224" s="53"/>
      <c r="AB224" s="53"/>
      <c r="AC224" s="137" t="s">
        <v>124</v>
      </c>
      <c r="AD224" s="138" t="s">
        <v>118</v>
      </c>
      <c r="AE224" s="83">
        <v>8760</v>
      </c>
      <c r="AF224" s="139">
        <v>1</v>
      </c>
      <c r="AG224" s="139">
        <f t="shared" si="46"/>
        <v>0.82191780821917804</v>
      </c>
      <c r="AH224" s="139">
        <v>0.6</v>
      </c>
      <c r="AI224" s="139">
        <v>0.6</v>
      </c>
      <c r="AJ224" s="83">
        <f t="shared" si="36"/>
        <v>2880</v>
      </c>
      <c r="AK224" s="83">
        <f t="shared" si="37"/>
        <v>4320</v>
      </c>
      <c r="AL224" s="104">
        <f t="shared" si="38"/>
        <v>3.8564043653072941</v>
      </c>
      <c r="AM224" s="104">
        <f t="shared" si="39"/>
        <v>3.8564043653072941</v>
      </c>
      <c r="AN224" s="83">
        <f t="shared" si="40"/>
        <v>11106.444572085007</v>
      </c>
      <c r="AO224" s="83">
        <f t="shared" si="41"/>
        <v>16659.666858127512</v>
      </c>
      <c r="AP224" s="182">
        <f t="shared" si="42"/>
        <v>37.896743782194136</v>
      </c>
      <c r="AQ224" s="182">
        <f t="shared" si="43"/>
        <v>56.845115673291204</v>
      </c>
      <c r="AR224" s="85"/>
      <c r="AS224" s="85"/>
      <c r="AT224" s="53"/>
      <c r="AU224" s="53"/>
      <c r="AV224" s="53"/>
      <c r="AW224" s="53"/>
      <c r="AX224" s="53"/>
      <c r="AY224" s="53"/>
      <c r="AZ224" s="53"/>
      <c r="BA224" s="53"/>
      <c r="BB224" s="53"/>
      <c r="BC224" s="111">
        <f t="shared" si="44"/>
        <v>11106.444572085007</v>
      </c>
      <c r="BD224" s="111">
        <f t="shared" si="45"/>
        <v>16659.666858127512</v>
      </c>
    </row>
    <row r="225" spans="1:56" ht="21" customHeight="1" x14ac:dyDescent="0.25">
      <c r="A225" s="53">
        <v>215</v>
      </c>
      <c r="B225" s="53"/>
      <c r="C225" s="53"/>
      <c r="D225" s="53" t="s">
        <v>135</v>
      </c>
      <c r="E225" s="53"/>
      <c r="F225" s="53"/>
      <c r="G225" s="53" t="s">
        <v>290</v>
      </c>
      <c r="H225" s="53" t="s">
        <v>291</v>
      </c>
      <c r="I225" s="85" t="s">
        <v>638</v>
      </c>
      <c r="J225" s="85" t="s">
        <v>846</v>
      </c>
      <c r="K225" s="85" t="s">
        <v>365</v>
      </c>
      <c r="L225" s="53" t="s">
        <v>216</v>
      </c>
      <c r="M225" s="53" t="s">
        <v>295</v>
      </c>
      <c r="N225" s="53"/>
      <c r="O225" s="85"/>
      <c r="P225" s="53">
        <v>1</v>
      </c>
      <c r="Q225" s="183">
        <v>2</v>
      </c>
      <c r="R225" s="84">
        <v>0.87050000000000005</v>
      </c>
      <c r="S225" s="53"/>
      <c r="T225" s="53"/>
      <c r="U225" s="53">
        <v>3</v>
      </c>
      <c r="V225" s="53">
        <v>480</v>
      </c>
      <c r="W225" s="53"/>
      <c r="X225" s="53"/>
      <c r="Y225" s="53"/>
      <c r="Z225" s="53"/>
      <c r="AA225" s="53"/>
      <c r="AB225" s="53"/>
      <c r="AC225" s="137" t="s">
        <v>124</v>
      </c>
      <c r="AD225" s="138" t="s">
        <v>118</v>
      </c>
      <c r="AE225" s="83">
        <v>8760</v>
      </c>
      <c r="AF225" s="139">
        <v>1</v>
      </c>
      <c r="AG225" s="139">
        <f t="shared" si="46"/>
        <v>0.82191780821917804</v>
      </c>
      <c r="AH225" s="139">
        <v>0.6</v>
      </c>
      <c r="AI225" s="139">
        <v>0.6</v>
      </c>
      <c r="AJ225" s="83">
        <f t="shared" si="36"/>
        <v>2880</v>
      </c>
      <c r="AK225" s="83">
        <f t="shared" si="37"/>
        <v>4320</v>
      </c>
      <c r="AL225" s="104">
        <f t="shared" si="38"/>
        <v>1.0283744974152784</v>
      </c>
      <c r="AM225" s="104">
        <f t="shared" si="39"/>
        <v>1.0283744974152784</v>
      </c>
      <c r="AN225" s="83">
        <f t="shared" si="40"/>
        <v>2961.7185525560017</v>
      </c>
      <c r="AO225" s="83">
        <f t="shared" si="41"/>
        <v>4442.5778288340025</v>
      </c>
      <c r="AP225" s="182">
        <f t="shared" si="42"/>
        <v>10.105798341918435</v>
      </c>
      <c r="AQ225" s="182">
        <f t="shared" si="43"/>
        <v>15.158697512877652</v>
      </c>
      <c r="AR225" s="85"/>
      <c r="AS225" s="85"/>
      <c r="AT225" s="53"/>
      <c r="AU225" s="53"/>
      <c r="AV225" s="53"/>
      <c r="AW225" s="53"/>
      <c r="AX225" s="53"/>
      <c r="AY225" s="53"/>
      <c r="AZ225" s="53"/>
      <c r="BA225" s="53"/>
      <c r="BB225" s="53"/>
      <c r="BC225" s="111">
        <f t="shared" si="44"/>
        <v>2961.7185525560017</v>
      </c>
      <c r="BD225" s="111">
        <f t="shared" si="45"/>
        <v>4442.5778288340025</v>
      </c>
    </row>
    <row r="226" spans="1:56" ht="21" customHeight="1" x14ac:dyDescent="0.25">
      <c r="A226" s="53">
        <v>216</v>
      </c>
      <c r="B226" s="53"/>
      <c r="C226" s="53"/>
      <c r="D226" s="53" t="s">
        <v>135</v>
      </c>
      <c r="E226" s="53"/>
      <c r="F226" s="53"/>
      <c r="G226" s="53" t="s">
        <v>290</v>
      </c>
      <c r="H226" s="53" t="s">
        <v>291</v>
      </c>
      <c r="I226" s="85" t="s">
        <v>638</v>
      </c>
      <c r="J226" s="85" t="s">
        <v>671</v>
      </c>
      <c r="K226" s="85" t="s">
        <v>670</v>
      </c>
      <c r="L226" s="53" t="s">
        <v>216</v>
      </c>
      <c r="M226" s="53" t="s">
        <v>295</v>
      </c>
      <c r="N226" s="53"/>
      <c r="O226" s="85" t="s">
        <v>135</v>
      </c>
      <c r="P226" s="53">
        <v>1</v>
      </c>
      <c r="Q226" s="183">
        <v>7.5</v>
      </c>
      <c r="R226" s="84">
        <v>0.87050000000000005</v>
      </c>
      <c r="S226" s="53"/>
      <c r="T226" s="53"/>
      <c r="U226" s="53">
        <v>3</v>
      </c>
      <c r="V226" s="53">
        <v>480</v>
      </c>
      <c r="W226" s="53"/>
      <c r="X226" s="53"/>
      <c r="Y226" s="53"/>
      <c r="Z226" s="53"/>
      <c r="AA226" s="53"/>
      <c r="AB226" s="53"/>
      <c r="AC226" s="137" t="s">
        <v>124</v>
      </c>
      <c r="AD226" s="138" t="s">
        <v>118</v>
      </c>
      <c r="AE226" s="83">
        <v>8760</v>
      </c>
      <c r="AF226" s="139">
        <v>1</v>
      </c>
      <c r="AG226" s="139">
        <f t="shared" si="46"/>
        <v>0.82191780821917804</v>
      </c>
      <c r="AH226" s="139">
        <v>0.6</v>
      </c>
      <c r="AI226" s="139">
        <v>0.6</v>
      </c>
      <c r="AJ226" s="83">
        <f t="shared" si="36"/>
        <v>2880</v>
      </c>
      <c r="AK226" s="83">
        <f t="shared" si="37"/>
        <v>4320</v>
      </c>
      <c r="AL226" s="104">
        <f t="shared" si="38"/>
        <v>3.8564043653072941</v>
      </c>
      <c r="AM226" s="104">
        <f t="shared" si="39"/>
        <v>3.8564043653072941</v>
      </c>
      <c r="AN226" s="83">
        <f t="shared" si="40"/>
        <v>11106.444572085007</v>
      </c>
      <c r="AO226" s="83">
        <f t="shared" si="41"/>
        <v>16659.666858127512</v>
      </c>
      <c r="AP226" s="182">
        <f t="shared" si="42"/>
        <v>37.896743782194136</v>
      </c>
      <c r="AQ226" s="182">
        <f t="shared" si="43"/>
        <v>56.845115673291204</v>
      </c>
      <c r="AR226" s="85"/>
      <c r="AS226" s="85"/>
      <c r="AT226" s="53"/>
      <c r="AU226" s="53"/>
      <c r="AV226" s="53"/>
      <c r="AW226" s="53"/>
      <c r="AX226" s="53"/>
      <c r="AY226" s="53"/>
      <c r="AZ226" s="53"/>
      <c r="BA226" s="53"/>
      <c r="BB226" s="53"/>
      <c r="BC226" s="111">
        <f t="shared" si="44"/>
        <v>11106.444572085007</v>
      </c>
      <c r="BD226" s="111">
        <f t="shared" si="45"/>
        <v>16659.666858127512</v>
      </c>
    </row>
    <row r="227" spans="1:56" ht="21" customHeight="1" x14ac:dyDescent="0.25">
      <c r="A227" s="53">
        <v>217</v>
      </c>
      <c r="B227" s="53"/>
      <c r="C227" s="53"/>
      <c r="D227" s="53" t="s">
        <v>135</v>
      </c>
      <c r="E227" s="53"/>
      <c r="F227" s="53"/>
      <c r="G227" s="53" t="s">
        <v>290</v>
      </c>
      <c r="H227" s="53" t="s">
        <v>291</v>
      </c>
      <c r="I227" s="85" t="s">
        <v>638</v>
      </c>
      <c r="J227" s="85" t="s">
        <v>801</v>
      </c>
      <c r="K227" s="85" t="s">
        <v>747</v>
      </c>
      <c r="L227" s="53" t="s">
        <v>216</v>
      </c>
      <c r="M227" s="53" t="s">
        <v>295</v>
      </c>
      <c r="N227" s="53"/>
      <c r="O227" s="85" t="s">
        <v>135</v>
      </c>
      <c r="P227" s="53">
        <v>1</v>
      </c>
      <c r="Q227" s="183">
        <v>3</v>
      </c>
      <c r="R227" s="84">
        <v>0.87050000000000005</v>
      </c>
      <c r="S227" s="53"/>
      <c r="T227" s="53"/>
      <c r="U227" s="53">
        <v>3</v>
      </c>
      <c r="V227" s="53">
        <v>480</v>
      </c>
      <c r="W227" s="53"/>
      <c r="X227" s="53"/>
      <c r="Y227" s="53"/>
      <c r="Z227" s="53"/>
      <c r="AA227" s="53"/>
      <c r="AB227" s="53"/>
      <c r="AC227" s="137" t="s">
        <v>124</v>
      </c>
      <c r="AD227" s="138" t="s">
        <v>118</v>
      </c>
      <c r="AE227" s="83">
        <v>8760</v>
      </c>
      <c r="AF227" s="139">
        <v>1</v>
      </c>
      <c r="AG227" s="139">
        <f t="shared" si="46"/>
        <v>0.82191780821917804</v>
      </c>
      <c r="AH227" s="139">
        <v>0.6</v>
      </c>
      <c r="AI227" s="139">
        <v>0.6</v>
      </c>
      <c r="AJ227" s="83">
        <f t="shared" si="36"/>
        <v>2880</v>
      </c>
      <c r="AK227" s="83">
        <f t="shared" si="37"/>
        <v>4320</v>
      </c>
      <c r="AL227" s="104">
        <f t="shared" si="38"/>
        <v>1.5425617461229177</v>
      </c>
      <c r="AM227" s="104">
        <f t="shared" si="39"/>
        <v>1.5425617461229177</v>
      </c>
      <c r="AN227" s="83">
        <f t="shared" si="40"/>
        <v>4442.5778288340034</v>
      </c>
      <c r="AO227" s="83">
        <f t="shared" si="41"/>
        <v>6663.8667432510047</v>
      </c>
      <c r="AP227" s="182">
        <f t="shared" si="42"/>
        <v>15.158697512877657</v>
      </c>
      <c r="AQ227" s="182">
        <f t="shared" si="43"/>
        <v>22.738046269316484</v>
      </c>
      <c r="AR227" s="85"/>
      <c r="AS227" s="85"/>
      <c r="AT227" s="53"/>
      <c r="AU227" s="53"/>
      <c r="AV227" s="53"/>
      <c r="AW227" s="53"/>
      <c r="AX227" s="53"/>
      <c r="AY227" s="53"/>
      <c r="AZ227" s="53"/>
      <c r="BA227" s="53"/>
      <c r="BB227" s="53"/>
      <c r="BC227" s="111">
        <f t="shared" si="44"/>
        <v>4442.5778288340034</v>
      </c>
      <c r="BD227" s="111">
        <f t="shared" si="45"/>
        <v>6663.8667432510047</v>
      </c>
    </row>
    <row r="228" spans="1:56" ht="21" customHeight="1" x14ac:dyDescent="0.25">
      <c r="A228" s="53">
        <v>218</v>
      </c>
      <c r="B228" s="53"/>
      <c r="C228" s="53"/>
      <c r="D228" s="53" t="s">
        <v>135</v>
      </c>
      <c r="E228" s="53"/>
      <c r="F228" s="53"/>
      <c r="G228" s="53" t="s">
        <v>290</v>
      </c>
      <c r="H228" s="53" t="s">
        <v>291</v>
      </c>
      <c r="I228" s="85" t="s">
        <v>638</v>
      </c>
      <c r="J228" s="85" t="s">
        <v>801</v>
      </c>
      <c r="K228" s="85" t="s">
        <v>802</v>
      </c>
      <c r="L228" s="53" t="s">
        <v>216</v>
      </c>
      <c r="M228" s="53" t="s">
        <v>295</v>
      </c>
      <c r="N228" s="53"/>
      <c r="O228" s="85" t="s">
        <v>135</v>
      </c>
      <c r="P228" s="53">
        <v>1</v>
      </c>
      <c r="Q228" s="183">
        <v>3</v>
      </c>
      <c r="R228" s="84">
        <v>0.87050000000000005</v>
      </c>
      <c r="S228" s="53"/>
      <c r="T228" s="53"/>
      <c r="U228" s="53">
        <v>3</v>
      </c>
      <c r="V228" s="53">
        <v>480</v>
      </c>
      <c r="W228" s="53"/>
      <c r="X228" s="53"/>
      <c r="Y228" s="53"/>
      <c r="Z228" s="53"/>
      <c r="AA228" s="53"/>
      <c r="AB228" s="53"/>
      <c r="AC228" s="137" t="s">
        <v>124</v>
      </c>
      <c r="AD228" s="138" t="s">
        <v>118</v>
      </c>
      <c r="AE228" s="83">
        <v>8760</v>
      </c>
      <c r="AF228" s="139">
        <v>1</v>
      </c>
      <c r="AG228" s="139">
        <f t="shared" si="46"/>
        <v>0.82191780821917804</v>
      </c>
      <c r="AH228" s="139">
        <v>0.6</v>
      </c>
      <c r="AI228" s="139">
        <v>0.6</v>
      </c>
      <c r="AJ228" s="83">
        <f t="shared" si="36"/>
        <v>2880</v>
      </c>
      <c r="AK228" s="83">
        <f t="shared" si="37"/>
        <v>4320</v>
      </c>
      <c r="AL228" s="104">
        <f t="shared" si="38"/>
        <v>1.5425617461229177</v>
      </c>
      <c r="AM228" s="104">
        <f t="shared" si="39"/>
        <v>1.5425617461229177</v>
      </c>
      <c r="AN228" s="83">
        <f t="shared" si="40"/>
        <v>4442.5778288340034</v>
      </c>
      <c r="AO228" s="83">
        <f t="shared" si="41"/>
        <v>6663.8667432510047</v>
      </c>
      <c r="AP228" s="182">
        <f t="shared" si="42"/>
        <v>15.158697512877657</v>
      </c>
      <c r="AQ228" s="182">
        <f t="shared" si="43"/>
        <v>22.738046269316484</v>
      </c>
      <c r="AR228" s="85"/>
      <c r="AS228" s="85"/>
      <c r="AT228" s="53"/>
      <c r="AU228" s="53"/>
      <c r="AV228" s="53"/>
      <c r="AW228" s="53"/>
      <c r="AX228" s="53"/>
      <c r="AY228" s="53"/>
      <c r="AZ228" s="53"/>
      <c r="BA228" s="53"/>
      <c r="BB228" s="53"/>
      <c r="BC228" s="111">
        <f t="shared" si="44"/>
        <v>4442.5778288340034</v>
      </c>
      <c r="BD228" s="111">
        <f t="shared" si="45"/>
        <v>6663.8667432510047</v>
      </c>
    </row>
    <row r="229" spans="1:56" ht="21" customHeight="1" x14ac:dyDescent="0.25">
      <c r="A229" s="53">
        <v>219</v>
      </c>
      <c r="B229" s="53"/>
      <c r="C229" s="53"/>
      <c r="D229" s="53" t="s">
        <v>135</v>
      </c>
      <c r="E229" s="53"/>
      <c r="F229" s="53"/>
      <c r="G229" s="53" t="s">
        <v>290</v>
      </c>
      <c r="H229" s="53" t="s">
        <v>291</v>
      </c>
      <c r="I229" s="85" t="s">
        <v>638</v>
      </c>
      <c r="J229" s="85" t="s">
        <v>801</v>
      </c>
      <c r="K229" s="85" t="s">
        <v>803</v>
      </c>
      <c r="L229" s="53" t="s">
        <v>216</v>
      </c>
      <c r="M229" s="53" t="s">
        <v>295</v>
      </c>
      <c r="N229" s="53"/>
      <c r="O229" s="85" t="s">
        <v>135</v>
      </c>
      <c r="P229" s="53">
        <v>1</v>
      </c>
      <c r="Q229" s="183">
        <v>3</v>
      </c>
      <c r="R229" s="84">
        <v>0.87050000000000005</v>
      </c>
      <c r="S229" s="53"/>
      <c r="T229" s="53"/>
      <c r="U229" s="53">
        <v>3</v>
      </c>
      <c r="V229" s="53">
        <v>480</v>
      </c>
      <c r="W229" s="53"/>
      <c r="X229" s="53"/>
      <c r="Y229" s="53"/>
      <c r="Z229" s="53"/>
      <c r="AA229" s="53"/>
      <c r="AB229" s="53"/>
      <c r="AC229" s="137" t="s">
        <v>124</v>
      </c>
      <c r="AD229" s="138" t="s">
        <v>118</v>
      </c>
      <c r="AE229" s="83">
        <v>8760</v>
      </c>
      <c r="AF229" s="139">
        <v>1</v>
      </c>
      <c r="AG229" s="139">
        <f t="shared" si="46"/>
        <v>0.82191780821917804</v>
      </c>
      <c r="AH229" s="139">
        <v>0.6</v>
      </c>
      <c r="AI229" s="139">
        <v>0.6</v>
      </c>
      <c r="AJ229" s="83">
        <f t="shared" si="36"/>
        <v>2880</v>
      </c>
      <c r="AK229" s="83">
        <f t="shared" si="37"/>
        <v>4320</v>
      </c>
      <c r="AL229" s="104">
        <f t="shared" si="38"/>
        <v>1.5425617461229177</v>
      </c>
      <c r="AM229" s="104">
        <f t="shared" si="39"/>
        <v>1.5425617461229177</v>
      </c>
      <c r="AN229" s="83">
        <f t="shared" si="40"/>
        <v>4442.5778288340034</v>
      </c>
      <c r="AO229" s="83">
        <f t="shared" si="41"/>
        <v>6663.8667432510047</v>
      </c>
      <c r="AP229" s="182">
        <f t="shared" si="42"/>
        <v>15.158697512877657</v>
      </c>
      <c r="AQ229" s="182">
        <f t="shared" si="43"/>
        <v>22.738046269316484</v>
      </c>
      <c r="AR229" s="85"/>
      <c r="AS229" s="85"/>
      <c r="AT229" s="53"/>
      <c r="AU229" s="53"/>
      <c r="AV229" s="53"/>
      <c r="AW229" s="53"/>
      <c r="AX229" s="53"/>
      <c r="AY229" s="53"/>
      <c r="AZ229" s="53"/>
      <c r="BA229" s="53"/>
      <c r="BB229" s="53"/>
      <c r="BC229" s="111">
        <f t="shared" si="44"/>
        <v>4442.5778288340034</v>
      </c>
      <c r="BD229" s="111">
        <f t="shared" si="45"/>
        <v>6663.8667432510047</v>
      </c>
    </row>
    <row r="230" spans="1:56" ht="21" customHeight="1" x14ac:dyDescent="0.25">
      <c r="A230" s="53">
        <v>220</v>
      </c>
      <c r="B230" s="53"/>
      <c r="C230" s="53"/>
      <c r="D230" s="53" t="s">
        <v>135</v>
      </c>
      <c r="E230" s="53"/>
      <c r="F230" s="53"/>
      <c r="G230" s="53" t="s">
        <v>290</v>
      </c>
      <c r="H230" s="53" t="s">
        <v>291</v>
      </c>
      <c r="I230" s="85" t="s">
        <v>638</v>
      </c>
      <c r="J230" s="85" t="s">
        <v>804</v>
      </c>
      <c r="K230" s="85" t="s">
        <v>805</v>
      </c>
      <c r="L230" s="53" t="s">
        <v>216</v>
      </c>
      <c r="M230" s="53" t="s">
        <v>295</v>
      </c>
      <c r="N230" s="53"/>
      <c r="O230" s="85" t="s">
        <v>135</v>
      </c>
      <c r="P230" s="53">
        <v>1</v>
      </c>
      <c r="Q230" s="183">
        <v>3</v>
      </c>
      <c r="R230" s="84">
        <v>0.87050000000000005</v>
      </c>
      <c r="S230" s="53"/>
      <c r="T230" s="53"/>
      <c r="U230" s="53">
        <v>3</v>
      </c>
      <c r="V230" s="53">
        <v>480</v>
      </c>
      <c r="W230" s="53"/>
      <c r="X230" s="53"/>
      <c r="Y230" s="53"/>
      <c r="Z230" s="53"/>
      <c r="AA230" s="53"/>
      <c r="AB230" s="53"/>
      <c r="AC230" s="137" t="s">
        <v>124</v>
      </c>
      <c r="AD230" s="138" t="s">
        <v>118</v>
      </c>
      <c r="AE230" s="83">
        <v>8760</v>
      </c>
      <c r="AF230" s="139">
        <v>1</v>
      </c>
      <c r="AG230" s="139">
        <f t="shared" si="46"/>
        <v>0.82191780821917804</v>
      </c>
      <c r="AH230" s="139">
        <v>0.6</v>
      </c>
      <c r="AI230" s="139">
        <v>0.6</v>
      </c>
      <c r="AJ230" s="83">
        <f t="shared" si="36"/>
        <v>2880</v>
      </c>
      <c r="AK230" s="83">
        <f t="shared" si="37"/>
        <v>4320</v>
      </c>
      <c r="AL230" s="104">
        <f t="shared" si="38"/>
        <v>1.5425617461229177</v>
      </c>
      <c r="AM230" s="104">
        <f t="shared" si="39"/>
        <v>1.5425617461229177</v>
      </c>
      <c r="AN230" s="83">
        <f t="shared" si="40"/>
        <v>4442.5778288340034</v>
      </c>
      <c r="AO230" s="83">
        <f t="shared" si="41"/>
        <v>6663.8667432510047</v>
      </c>
      <c r="AP230" s="182">
        <f t="shared" si="42"/>
        <v>15.158697512877657</v>
      </c>
      <c r="AQ230" s="182">
        <f t="shared" si="43"/>
        <v>22.738046269316484</v>
      </c>
      <c r="AR230" s="85"/>
      <c r="AS230" s="85"/>
      <c r="AT230" s="53"/>
      <c r="AU230" s="53"/>
      <c r="AV230" s="53"/>
      <c r="AW230" s="53"/>
      <c r="AX230" s="53"/>
      <c r="AY230" s="53"/>
      <c r="AZ230" s="53"/>
      <c r="BA230" s="53"/>
      <c r="BB230" s="53"/>
      <c r="BC230" s="111">
        <f t="shared" si="44"/>
        <v>4442.5778288340034</v>
      </c>
      <c r="BD230" s="111">
        <f t="shared" si="45"/>
        <v>6663.8667432510047</v>
      </c>
    </row>
    <row r="231" spans="1:56" ht="21" customHeight="1" x14ac:dyDescent="0.25">
      <c r="A231" s="53">
        <v>221</v>
      </c>
      <c r="B231" s="53"/>
      <c r="C231" s="53"/>
      <c r="D231" s="53" t="s">
        <v>135</v>
      </c>
      <c r="E231" s="53"/>
      <c r="F231" s="53"/>
      <c r="G231" s="53" t="s">
        <v>290</v>
      </c>
      <c r="H231" s="53" t="s">
        <v>291</v>
      </c>
      <c r="I231" s="85" t="s">
        <v>638</v>
      </c>
      <c r="J231" s="85" t="s">
        <v>804</v>
      </c>
      <c r="K231" s="85" t="s">
        <v>806</v>
      </c>
      <c r="L231" s="53" t="s">
        <v>216</v>
      </c>
      <c r="M231" s="53" t="s">
        <v>295</v>
      </c>
      <c r="N231" s="53"/>
      <c r="O231" s="85" t="s">
        <v>135</v>
      </c>
      <c r="P231" s="53">
        <v>1</v>
      </c>
      <c r="Q231" s="183">
        <v>3</v>
      </c>
      <c r="R231" s="84">
        <v>0.87050000000000005</v>
      </c>
      <c r="S231" s="53"/>
      <c r="T231" s="53"/>
      <c r="U231" s="53">
        <v>3</v>
      </c>
      <c r="V231" s="53">
        <v>480</v>
      </c>
      <c r="X231" s="53"/>
      <c r="Y231" s="53"/>
      <c r="Z231" s="53"/>
      <c r="AA231" s="53"/>
      <c r="AB231" s="53"/>
      <c r="AC231" s="137" t="s">
        <v>124</v>
      </c>
      <c r="AD231" s="138" t="s">
        <v>118</v>
      </c>
      <c r="AE231" s="83">
        <v>8760</v>
      </c>
      <c r="AF231" s="139">
        <v>1</v>
      </c>
      <c r="AG231" s="139">
        <f t="shared" si="46"/>
        <v>0.82191780821917804</v>
      </c>
      <c r="AH231" s="139">
        <v>0.6</v>
      </c>
      <c r="AI231" s="139">
        <v>0.6</v>
      </c>
      <c r="AJ231" s="83">
        <f t="shared" si="36"/>
        <v>2880</v>
      </c>
      <c r="AK231" s="83">
        <f t="shared" si="37"/>
        <v>4320</v>
      </c>
      <c r="AL231" s="104">
        <f t="shared" si="38"/>
        <v>1.5425617461229177</v>
      </c>
      <c r="AM231" s="104">
        <f t="shared" si="39"/>
        <v>1.5425617461229177</v>
      </c>
      <c r="AN231" s="83">
        <f t="shared" si="40"/>
        <v>4442.5778288340034</v>
      </c>
      <c r="AO231" s="83">
        <f t="shared" si="41"/>
        <v>6663.8667432510047</v>
      </c>
      <c r="AP231" s="182">
        <f t="shared" si="42"/>
        <v>15.158697512877657</v>
      </c>
      <c r="AQ231" s="182">
        <f t="shared" si="43"/>
        <v>22.738046269316484</v>
      </c>
      <c r="AR231" s="85"/>
      <c r="AS231" s="85"/>
      <c r="AT231" s="53"/>
      <c r="AU231" s="53"/>
      <c r="AV231" s="53"/>
      <c r="AW231" s="53"/>
      <c r="AX231" s="53"/>
      <c r="AY231" s="53"/>
      <c r="AZ231" s="53"/>
      <c r="BA231" s="53"/>
      <c r="BB231" s="53"/>
      <c r="BC231" s="111">
        <f t="shared" si="44"/>
        <v>4442.5778288340034</v>
      </c>
      <c r="BD231" s="111">
        <f t="shared" si="45"/>
        <v>6663.8667432510047</v>
      </c>
    </row>
    <row r="232" spans="1:56" ht="21" customHeight="1" x14ac:dyDescent="0.25">
      <c r="A232" s="53">
        <v>222</v>
      </c>
      <c r="B232" s="53"/>
      <c r="C232" s="53"/>
      <c r="D232" s="53" t="s">
        <v>135</v>
      </c>
      <c r="E232" s="53"/>
      <c r="F232" s="53"/>
      <c r="G232" s="53" t="s">
        <v>290</v>
      </c>
      <c r="H232" s="53" t="s">
        <v>291</v>
      </c>
      <c r="I232" s="85" t="s">
        <v>638</v>
      </c>
      <c r="J232" s="85" t="s">
        <v>804</v>
      </c>
      <c r="K232" s="85" t="s">
        <v>807</v>
      </c>
      <c r="L232" s="53" t="s">
        <v>216</v>
      </c>
      <c r="M232" s="53" t="s">
        <v>295</v>
      </c>
      <c r="N232" s="53"/>
      <c r="O232" s="85" t="s">
        <v>135</v>
      </c>
      <c r="P232" s="53">
        <v>1</v>
      </c>
      <c r="Q232" s="183">
        <v>3</v>
      </c>
      <c r="R232" s="84">
        <v>0.87050000000000005</v>
      </c>
      <c r="S232" s="53"/>
      <c r="T232" s="53"/>
      <c r="U232" s="53">
        <v>3</v>
      </c>
      <c r="V232" s="53">
        <v>480</v>
      </c>
      <c r="X232" s="53"/>
      <c r="Y232" s="53"/>
      <c r="Z232" s="53"/>
      <c r="AA232" s="53"/>
      <c r="AB232" s="53"/>
      <c r="AC232" s="137" t="s">
        <v>124</v>
      </c>
      <c r="AD232" s="138" t="s">
        <v>118</v>
      </c>
      <c r="AE232" s="83">
        <v>8760</v>
      </c>
      <c r="AF232" s="139">
        <v>1</v>
      </c>
      <c r="AG232" s="139">
        <f t="shared" si="46"/>
        <v>0.82191780821917804</v>
      </c>
      <c r="AH232" s="139">
        <v>0.6</v>
      </c>
      <c r="AI232" s="139">
        <v>0.6</v>
      </c>
      <c r="AJ232" s="83">
        <f t="shared" si="36"/>
        <v>2880</v>
      </c>
      <c r="AK232" s="83">
        <f t="shared" si="37"/>
        <v>4320</v>
      </c>
      <c r="AL232" s="104">
        <f t="shared" si="38"/>
        <v>1.5425617461229177</v>
      </c>
      <c r="AM232" s="104">
        <f t="shared" si="39"/>
        <v>1.5425617461229177</v>
      </c>
      <c r="AN232" s="83">
        <f t="shared" si="40"/>
        <v>4442.5778288340034</v>
      </c>
      <c r="AO232" s="83">
        <f t="shared" si="41"/>
        <v>6663.8667432510047</v>
      </c>
      <c r="AP232" s="182">
        <f t="shared" si="42"/>
        <v>15.158697512877657</v>
      </c>
      <c r="AQ232" s="182">
        <f t="shared" si="43"/>
        <v>22.738046269316484</v>
      </c>
      <c r="AR232" s="85"/>
      <c r="AS232" s="85"/>
      <c r="AT232" s="53"/>
      <c r="AU232" s="53"/>
      <c r="AV232" s="53"/>
      <c r="AW232" s="53"/>
      <c r="AX232" s="53"/>
      <c r="AY232" s="53"/>
      <c r="AZ232" s="53"/>
      <c r="BA232" s="53"/>
      <c r="BB232" s="53"/>
      <c r="BC232" s="111">
        <f t="shared" si="44"/>
        <v>4442.5778288340034</v>
      </c>
      <c r="BD232" s="111">
        <f t="shared" si="45"/>
        <v>6663.8667432510047</v>
      </c>
    </row>
    <row r="233" spans="1:56" ht="21" customHeight="1" x14ac:dyDescent="0.25">
      <c r="A233" s="53">
        <v>223</v>
      </c>
      <c r="B233" s="53"/>
      <c r="C233" s="53"/>
      <c r="D233" s="53" t="s">
        <v>135</v>
      </c>
      <c r="E233" s="53"/>
      <c r="F233" s="53"/>
      <c r="G233" s="53" t="s">
        <v>290</v>
      </c>
      <c r="H233" s="53" t="s">
        <v>291</v>
      </c>
      <c r="I233" s="85" t="s">
        <v>638</v>
      </c>
      <c r="J233" s="85" t="s">
        <v>639</v>
      </c>
      <c r="K233" s="85" t="s">
        <v>365</v>
      </c>
      <c r="L233" s="53" t="s">
        <v>216</v>
      </c>
      <c r="M233" s="53" t="s">
        <v>295</v>
      </c>
      <c r="N233" s="53"/>
      <c r="O233" s="85"/>
      <c r="P233" s="53">
        <v>1</v>
      </c>
      <c r="Q233" s="183">
        <v>10</v>
      </c>
      <c r="R233" s="84">
        <v>0.87050000000000005</v>
      </c>
      <c r="S233" s="53"/>
      <c r="T233" s="53"/>
      <c r="U233" s="53">
        <v>3</v>
      </c>
      <c r="V233" s="53">
        <v>480</v>
      </c>
      <c r="X233" s="53"/>
      <c r="Y233" s="53"/>
      <c r="Z233" s="53"/>
      <c r="AA233" s="53"/>
      <c r="AB233" s="53"/>
      <c r="AC233" s="137" t="s">
        <v>124</v>
      </c>
      <c r="AD233" s="138" t="s">
        <v>118</v>
      </c>
      <c r="AE233" s="83">
        <v>8760</v>
      </c>
      <c r="AF233" s="139">
        <v>1</v>
      </c>
      <c r="AG233" s="139">
        <f t="shared" si="46"/>
        <v>0.82191780821917804</v>
      </c>
      <c r="AH233" s="139">
        <v>0.6</v>
      </c>
      <c r="AI233" s="139">
        <v>0.6</v>
      </c>
      <c r="AJ233" s="83">
        <f t="shared" si="36"/>
        <v>2880</v>
      </c>
      <c r="AK233" s="83">
        <f t="shared" si="37"/>
        <v>4320</v>
      </c>
      <c r="AL233" s="104">
        <f t="shared" si="38"/>
        <v>5.1418724870763919</v>
      </c>
      <c r="AM233" s="104">
        <f t="shared" si="39"/>
        <v>5.1418724870763919</v>
      </c>
      <c r="AN233" s="83">
        <f t="shared" si="40"/>
        <v>14808.592762780008</v>
      </c>
      <c r="AO233" s="83">
        <f t="shared" si="41"/>
        <v>22212.889144170014</v>
      </c>
      <c r="AP233" s="182">
        <f t="shared" si="42"/>
        <v>50.528991709592177</v>
      </c>
      <c r="AQ233" s="182">
        <f t="shared" si="43"/>
        <v>75.793487564388272</v>
      </c>
      <c r="AR233" s="85"/>
      <c r="AS233" s="85"/>
      <c r="AT233" s="53"/>
      <c r="AU233" s="53"/>
      <c r="AV233" s="53"/>
      <c r="AW233" s="53"/>
      <c r="AX233" s="53"/>
      <c r="AY233" s="53"/>
      <c r="AZ233" s="53"/>
      <c r="BA233" s="53"/>
      <c r="BB233" s="53"/>
      <c r="BC233" s="111">
        <f t="shared" si="44"/>
        <v>14808.592762780008</v>
      </c>
      <c r="BD233" s="111">
        <f t="shared" si="45"/>
        <v>22212.889144170014</v>
      </c>
    </row>
    <row r="234" spans="1:56" ht="21" customHeight="1" x14ac:dyDescent="0.25">
      <c r="A234" s="53">
        <v>224</v>
      </c>
      <c r="B234" s="53"/>
      <c r="C234" s="53"/>
      <c r="D234" s="53" t="s">
        <v>135</v>
      </c>
      <c r="E234" s="53"/>
      <c r="F234" s="53"/>
      <c r="G234" s="53" t="s">
        <v>290</v>
      </c>
      <c r="H234" s="53" t="s">
        <v>291</v>
      </c>
      <c r="I234" s="85" t="s">
        <v>638</v>
      </c>
      <c r="J234" s="85" t="s">
        <v>639</v>
      </c>
      <c r="K234" s="85" t="s">
        <v>294</v>
      </c>
      <c r="L234" s="53" t="s">
        <v>216</v>
      </c>
      <c r="M234" s="53" t="s">
        <v>295</v>
      </c>
      <c r="N234" s="53"/>
      <c r="O234" s="85" t="s">
        <v>135</v>
      </c>
      <c r="P234" s="53">
        <v>1</v>
      </c>
      <c r="Q234" s="183">
        <v>7.5</v>
      </c>
      <c r="R234" s="84">
        <v>0.87050000000000005</v>
      </c>
      <c r="S234" s="53"/>
      <c r="T234" s="53"/>
      <c r="U234" s="53">
        <v>3</v>
      </c>
      <c r="V234" s="53">
        <v>480</v>
      </c>
      <c r="X234" s="53"/>
      <c r="Y234" s="53"/>
      <c r="Z234" s="53"/>
      <c r="AA234" s="53"/>
      <c r="AB234" s="53"/>
      <c r="AC234" s="137" t="s">
        <v>124</v>
      </c>
      <c r="AD234" s="138" t="s">
        <v>118</v>
      </c>
      <c r="AE234" s="83">
        <v>8760</v>
      </c>
      <c r="AF234" s="139">
        <v>1</v>
      </c>
      <c r="AG234" s="139">
        <f t="shared" si="46"/>
        <v>0.82191780821917804</v>
      </c>
      <c r="AH234" s="139">
        <v>0.6</v>
      </c>
      <c r="AI234" s="139">
        <v>0.6</v>
      </c>
      <c r="AJ234" s="83">
        <f t="shared" si="36"/>
        <v>2880</v>
      </c>
      <c r="AK234" s="83">
        <f t="shared" si="37"/>
        <v>4320</v>
      </c>
      <c r="AL234" s="104">
        <f t="shared" si="38"/>
        <v>3.8564043653072941</v>
      </c>
      <c r="AM234" s="104">
        <f t="shared" si="39"/>
        <v>3.8564043653072941</v>
      </c>
      <c r="AN234" s="83">
        <f t="shared" si="40"/>
        <v>11106.444572085007</v>
      </c>
      <c r="AO234" s="83">
        <f t="shared" si="41"/>
        <v>16659.666858127512</v>
      </c>
      <c r="AP234" s="182">
        <f t="shared" si="42"/>
        <v>37.896743782194136</v>
      </c>
      <c r="AQ234" s="182">
        <f t="shared" si="43"/>
        <v>56.845115673291204</v>
      </c>
      <c r="AR234" s="85"/>
      <c r="AS234" s="85"/>
      <c r="AT234" s="53"/>
      <c r="AU234" s="53"/>
      <c r="AV234" s="53"/>
      <c r="AW234" s="53"/>
      <c r="AX234" s="53"/>
      <c r="AY234" s="53"/>
      <c r="AZ234" s="53"/>
      <c r="BA234" s="53"/>
      <c r="BB234" s="53"/>
      <c r="BC234" s="111">
        <f t="shared" si="44"/>
        <v>11106.444572085007</v>
      </c>
      <c r="BD234" s="111">
        <f t="shared" si="45"/>
        <v>16659.666858127512</v>
      </c>
    </row>
    <row r="235" spans="1:56" ht="21" customHeight="1" x14ac:dyDescent="0.25">
      <c r="A235" s="53">
        <v>225</v>
      </c>
      <c r="B235" s="53"/>
      <c r="C235" s="53"/>
      <c r="D235" s="53" t="s">
        <v>135</v>
      </c>
      <c r="E235" s="53"/>
      <c r="F235" s="53"/>
      <c r="G235" s="53" t="s">
        <v>290</v>
      </c>
      <c r="H235" s="53" t="s">
        <v>291</v>
      </c>
      <c r="I235" s="85" t="s">
        <v>638</v>
      </c>
      <c r="J235" s="85" t="s">
        <v>639</v>
      </c>
      <c r="K235" s="85" t="s">
        <v>747</v>
      </c>
      <c r="L235" s="53" t="s">
        <v>216</v>
      </c>
      <c r="M235" s="53" t="s">
        <v>295</v>
      </c>
      <c r="N235" s="53"/>
      <c r="O235" s="85" t="s">
        <v>135</v>
      </c>
      <c r="P235" s="53">
        <v>1</v>
      </c>
      <c r="Q235" s="183">
        <v>3</v>
      </c>
      <c r="R235" s="84">
        <v>0.87050000000000005</v>
      </c>
      <c r="S235" s="53"/>
      <c r="T235" s="53"/>
      <c r="U235" s="53">
        <v>3</v>
      </c>
      <c r="V235" s="53">
        <v>480</v>
      </c>
      <c r="X235" s="53"/>
      <c r="Y235" s="53"/>
      <c r="Z235" s="53"/>
      <c r="AA235" s="53"/>
      <c r="AB235" s="53"/>
      <c r="AC235" s="137" t="s">
        <v>124</v>
      </c>
      <c r="AD235" s="138" t="s">
        <v>118</v>
      </c>
      <c r="AE235" s="83">
        <v>8760</v>
      </c>
      <c r="AF235" s="139">
        <v>1</v>
      </c>
      <c r="AG235" s="139">
        <f t="shared" si="46"/>
        <v>0.82191780821917804</v>
      </c>
      <c r="AH235" s="139">
        <v>0.6</v>
      </c>
      <c r="AI235" s="139">
        <v>0.6</v>
      </c>
      <c r="AJ235" s="83">
        <f t="shared" si="36"/>
        <v>2880</v>
      </c>
      <c r="AK235" s="83">
        <f t="shared" si="37"/>
        <v>4320</v>
      </c>
      <c r="AL235" s="104">
        <f t="shared" si="38"/>
        <v>1.5425617461229177</v>
      </c>
      <c r="AM235" s="104">
        <f t="shared" si="39"/>
        <v>1.5425617461229177</v>
      </c>
      <c r="AN235" s="83">
        <f t="shared" si="40"/>
        <v>4442.5778288340034</v>
      </c>
      <c r="AO235" s="83">
        <f t="shared" si="41"/>
        <v>6663.8667432510047</v>
      </c>
      <c r="AP235" s="182">
        <f t="shared" si="42"/>
        <v>15.158697512877657</v>
      </c>
      <c r="AQ235" s="182">
        <f t="shared" si="43"/>
        <v>22.738046269316484</v>
      </c>
      <c r="AR235" s="85"/>
      <c r="AS235" s="85"/>
      <c r="AT235" s="53"/>
      <c r="AU235" s="53"/>
      <c r="AV235" s="53"/>
      <c r="AW235" s="53"/>
      <c r="AX235" s="53"/>
      <c r="AY235" s="53"/>
      <c r="AZ235" s="53"/>
      <c r="BA235" s="53"/>
      <c r="BB235" s="53"/>
      <c r="BC235" s="111">
        <f t="shared" si="44"/>
        <v>4442.5778288340034</v>
      </c>
      <c r="BD235" s="111">
        <f t="shared" si="45"/>
        <v>6663.8667432510047</v>
      </c>
    </row>
    <row r="236" spans="1:56" ht="21" customHeight="1" x14ac:dyDescent="0.25">
      <c r="A236" s="53">
        <v>226</v>
      </c>
      <c r="B236" s="53"/>
      <c r="C236" s="53"/>
      <c r="D236" s="53" t="s">
        <v>135</v>
      </c>
      <c r="E236" s="53"/>
      <c r="F236" s="53"/>
      <c r="G236" s="53" t="s">
        <v>290</v>
      </c>
      <c r="H236" s="53" t="s">
        <v>291</v>
      </c>
      <c r="I236" s="85" t="s">
        <v>638</v>
      </c>
      <c r="J236" s="85" t="s">
        <v>639</v>
      </c>
      <c r="K236" s="85" t="s">
        <v>802</v>
      </c>
      <c r="L236" s="53" t="s">
        <v>216</v>
      </c>
      <c r="M236" s="53" t="s">
        <v>295</v>
      </c>
      <c r="N236" s="53"/>
      <c r="O236" s="85" t="s">
        <v>135</v>
      </c>
      <c r="P236" s="53">
        <v>1</v>
      </c>
      <c r="Q236" s="183">
        <v>3</v>
      </c>
      <c r="R236" s="84">
        <v>0.87050000000000005</v>
      </c>
      <c r="S236" s="53"/>
      <c r="T236" s="53"/>
      <c r="U236" s="53">
        <v>3</v>
      </c>
      <c r="V236" s="53">
        <v>480</v>
      </c>
      <c r="X236" s="53"/>
      <c r="Y236" s="53"/>
      <c r="Z236" s="53"/>
      <c r="AA236" s="53"/>
      <c r="AB236" s="53"/>
      <c r="AC236" s="137" t="s">
        <v>124</v>
      </c>
      <c r="AD236" s="138" t="s">
        <v>118</v>
      </c>
      <c r="AE236" s="83">
        <v>8760</v>
      </c>
      <c r="AF236" s="139">
        <v>1</v>
      </c>
      <c r="AG236" s="139">
        <f t="shared" si="46"/>
        <v>0.82191780821917804</v>
      </c>
      <c r="AH236" s="139">
        <v>0.6</v>
      </c>
      <c r="AI236" s="139">
        <v>0.6</v>
      </c>
      <c r="AJ236" s="83">
        <f t="shared" si="36"/>
        <v>2880</v>
      </c>
      <c r="AK236" s="83">
        <f t="shared" si="37"/>
        <v>4320</v>
      </c>
      <c r="AL236" s="104">
        <f t="shared" si="38"/>
        <v>1.5425617461229177</v>
      </c>
      <c r="AM236" s="104">
        <f t="shared" si="39"/>
        <v>1.5425617461229177</v>
      </c>
      <c r="AN236" s="83">
        <f t="shared" si="40"/>
        <v>4442.5778288340034</v>
      </c>
      <c r="AO236" s="83">
        <f t="shared" si="41"/>
        <v>6663.8667432510047</v>
      </c>
      <c r="AP236" s="182">
        <f t="shared" si="42"/>
        <v>15.158697512877657</v>
      </c>
      <c r="AQ236" s="182">
        <f t="shared" si="43"/>
        <v>22.738046269316484</v>
      </c>
      <c r="AR236" s="85"/>
      <c r="AS236" s="85"/>
      <c r="AT236" s="53"/>
      <c r="AU236" s="53"/>
      <c r="AV236" s="53"/>
      <c r="AW236" s="53"/>
      <c r="AX236" s="53"/>
      <c r="AY236" s="53"/>
      <c r="AZ236" s="53"/>
      <c r="BA236" s="53"/>
      <c r="BB236" s="53"/>
      <c r="BC236" s="111">
        <f t="shared" si="44"/>
        <v>4442.5778288340034</v>
      </c>
      <c r="BD236" s="111">
        <f t="shared" si="45"/>
        <v>6663.8667432510047</v>
      </c>
    </row>
    <row r="237" spans="1:56" ht="21" customHeight="1" x14ac:dyDescent="0.25">
      <c r="A237" s="53">
        <v>227</v>
      </c>
      <c r="B237" s="53"/>
      <c r="C237" s="53"/>
      <c r="D237" s="53" t="s">
        <v>135</v>
      </c>
      <c r="E237" s="53"/>
      <c r="F237" s="53"/>
      <c r="G237" s="53" t="s">
        <v>290</v>
      </c>
      <c r="H237" s="53" t="s">
        <v>291</v>
      </c>
      <c r="I237" s="85" t="s">
        <v>321</v>
      </c>
      <c r="J237" s="85" t="s">
        <v>322</v>
      </c>
      <c r="K237" s="85" t="s">
        <v>294</v>
      </c>
      <c r="L237" s="53" t="s">
        <v>216</v>
      </c>
      <c r="M237" s="53" t="s">
        <v>295</v>
      </c>
      <c r="N237" s="53"/>
      <c r="O237" s="85" t="s">
        <v>135</v>
      </c>
      <c r="P237" s="53">
        <v>1</v>
      </c>
      <c r="Q237" s="183">
        <v>75</v>
      </c>
      <c r="R237" s="84">
        <v>0.91149999999999998</v>
      </c>
      <c r="S237" s="53"/>
      <c r="T237" s="53"/>
      <c r="U237" s="53">
        <v>3</v>
      </c>
      <c r="V237" s="53">
        <v>480</v>
      </c>
      <c r="X237" s="53"/>
      <c r="Y237" s="53"/>
      <c r="Z237" s="53"/>
      <c r="AA237" s="53"/>
      <c r="AB237" s="53"/>
      <c r="AC237" s="137" t="s">
        <v>124</v>
      </c>
      <c r="AD237" s="138" t="s">
        <v>118</v>
      </c>
      <c r="AE237" s="83">
        <v>8760</v>
      </c>
      <c r="AF237" s="139">
        <v>1</v>
      </c>
      <c r="AG237" s="139">
        <f t="shared" si="46"/>
        <v>0.82191780821917804</v>
      </c>
      <c r="AH237" s="139">
        <v>0.6</v>
      </c>
      <c r="AI237" s="139">
        <v>0.6</v>
      </c>
      <c r="AJ237" s="83">
        <f t="shared" si="36"/>
        <v>2880</v>
      </c>
      <c r="AK237" s="83">
        <f t="shared" si="37"/>
        <v>4320</v>
      </c>
      <c r="AL237" s="104">
        <f t="shared" si="38"/>
        <v>36.829402084476136</v>
      </c>
      <c r="AM237" s="104">
        <f t="shared" si="39"/>
        <v>36.829402084476136</v>
      </c>
      <c r="AN237" s="83">
        <f t="shared" si="40"/>
        <v>106068.67800329128</v>
      </c>
      <c r="AO237" s="83">
        <f t="shared" si="41"/>
        <v>159103.0170049369</v>
      </c>
      <c r="AP237" s="182">
        <f t="shared" si="42"/>
        <v>361.92117896215029</v>
      </c>
      <c r="AQ237" s="182">
        <f t="shared" si="43"/>
        <v>542.88176844322538</v>
      </c>
      <c r="AR237" s="85"/>
      <c r="AS237" s="85"/>
      <c r="AT237" s="53"/>
      <c r="AU237" s="53"/>
      <c r="AV237" s="53"/>
      <c r="AW237" s="53"/>
      <c r="AX237" s="53"/>
      <c r="AY237" s="53"/>
      <c r="AZ237" s="53"/>
      <c r="BA237" s="53"/>
      <c r="BB237" s="53"/>
      <c r="BC237" s="111">
        <f t="shared" si="44"/>
        <v>106068.67800329128</v>
      </c>
      <c r="BD237" s="111">
        <f t="shared" si="45"/>
        <v>159103.0170049369</v>
      </c>
    </row>
    <row r="238" spans="1:56" ht="21" customHeight="1" x14ac:dyDescent="0.25">
      <c r="A238" s="53">
        <v>228</v>
      </c>
      <c r="B238" s="53"/>
      <c r="C238" s="53"/>
      <c r="D238" s="53" t="s">
        <v>135</v>
      </c>
      <c r="E238" s="53"/>
      <c r="F238" s="53"/>
      <c r="G238" s="53" t="s">
        <v>290</v>
      </c>
      <c r="H238" s="53" t="s">
        <v>291</v>
      </c>
      <c r="I238" s="85" t="s">
        <v>321</v>
      </c>
      <c r="J238" s="85" t="s">
        <v>810</v>
      </c>
      <c r="K238" s="85" t="s">
        <v>811</v>
      </c>
      <c r="L238" s="53" t="s">
        <v>216</v>
      </c>
      <c r="M238" s="53" t="s">
        <v>295</v>
      </c>
      <c r="N238" s="53"/>
      <c r="O238" s="85" t="s">
        <v>135</v>
      </c>
      <c r="P238" s="53">
        <v>1</v>
      </c>
      <c r="Q238" s="183">
        <v>3</v>
      </c>
      <c r="R238" s="84">
        <v>0.87050000000000005</v>
      </c>
      <c r="S238" s="53"/>
      <c r="T238" s="53"/>
      <c r="U238" s="53">
        <v>3</v>
      </c>
      <c r="V238" s="53">
        <v>480</v>
      </c>
      <c r="X238" s="53"/>
      <c r="Y238" s="53"/>
      <c r="Z238" s="53"/>
      <c r="AA238" s="53"/>
      <c r="AB238" s="53"/>
      <c r="AC238" s="137" t="s">
        <v>124</v>
      </c>
      <c r="AD238" s="138" t="s">
        <v>118</v>
      </c>
      <c r="AE238" s="83">
        <v>8760</v>
      </c>
      <c r="AF238" s="139">
        <v>1</v>
      </c>
      <c r="AG238" s="139">
        <f t="shared" si="46"/>
        <v>0.82191780821917804</v>
      </c>
      <c r="AH238" s="139">
        <v>0.6</v>
      </c>
      <c r="AI238" s="139">
        <v>0.6</v>
      </c>
      <c r="AJ238" s="83">
        <f t="shared" si="36"/>
        <v>2880</v>
      </c>
      <c r="AK238" s="83">
        <f t="shared" si="37"/>
        <v>4320</v>
      </c>
      <c r="AL238" s="104">
        <f t="shared" si="38"/>
        <v>1.5425617461229177</v>
      </c>
      <c r="AM238" s="104">
        <f t="shared" si="39"/>
        <v>1.5425617461229177</v>
      </c>
      <c r="AN238" s="83">
        <f t="shared" si="40"/>
        <v>4442.5778288340034</v>
      </c>
      <c r="AO238" s="83">
        <f t="shared" si="41"/>
        <v>6663.8667432510047</v>
      </c>
      <c r="AP238" s="182">
        <f t="shared" si="42"/>
        <v>15.158697512877657</v>
      </c>
      <c r="AQ238" s="182">
        <f t="shared" si="43"/>
        <v>22.738046269316484</v>
      </c>
      <c r="AR238" s="85"/>
      <c r="AS238" s="85"/>
      <c r="AT238" s="53"/>
      <c r="AU238" s="53"/>
      <c r="AV238" s="53"/>
      <c r="AW238" s="53"/>
      <c r="AX238" s="53"/>
      <c r="AY238" s="53"/>
      <c r="AZ238" s="53"/>
      <c r="BA238" s="53"/>
      <c r="BB238" s="53"/>
      <c r="BC238" s="111">
        <f t="shared" si="44"/>
        <v>4442.5778288340034</v>
      </c>
      <c r="BD238" s="111">
        <f t="shared" si="45"/>
        <v>6663.8667432510047</v>
      </c>
    </row>
    <row r="239" spans="1:56" ht="21" customHeight="1" x14ac:dyDescent="0.25">
      <c r="A239" s="53">
        <v>229</v>
      </c>
      <c r="B239" s="53"/>
      <c r="C239" s="53"/>
      <c r="D239" s="53" t="s">
        <v>135</v>
      </c>
      <c r="E239" s="53"/>
      <c r="F239" s="53"/>
      <c r="G239" s="53" t="s">
        <v>290</v>
      </c>
      <c r="H239" s="53" t="s">
        <v>291</v>
      </c>
      <c r="I239" s="85" t="s">
        <v>321</v>
      </c>
      <c r="J239" s="85" t="s">
        <v>810</v>
      </c>
      <c r="K239" s="85" t="s">
        <v>812</v>
      </c>
      <c r="L239" s="53" t="s">
        <v>216</v>
      </c>
      <c r="M239" s="53" t="s">
        <v>295</v>
      </c>
      <c r="N239" s="53"/>
      <c r="O239" s="85" t="s">
        <v>135</v>
      </c>
      <c r="P239" s="53">
        <v>1</v>
      </c>
      <c r="Q239" s="183">
        <v>3</v>
      </c>
      <c r="R239" s="84">
        <v>0.87050000000000005</v>
      </c>
      <c r="S239" s="53"/>
      <c r="T239" s="53"/>
      <c r="U239" s="53">
        <v>3</v>
      </c>
      <c r="V239" s="53">
        <v>480</v>
      </c>
      <c r="X239" s="53"/>
      <c r="Y239" s="53"/>
      <c r="Z239" s="53"/>
      <c r="AA239" s="53"/>
      <c r="AB239" s="53"/>
      <c r="AC239" s="137" t="s">
        <v>124</v>
      </c>
      <c r="AD239" s="138" t="s">
        <v>118</v>
      </c>
      <c r="AE239" s="83">
        <v>8760</v>
      </c>
      <c r="AF239" s="139">
        <v>1</v>
      </c>
      <c r="AG239" s="139">
        <f t="shared" si="46"/>
        <v>0.82191780821917804</v>
      </c>
      <c r="AH239" s="139">
        <v>0.6</v>
      </c>
      <c r="AI239" s="139">
        <v>0.6</v>
      </c>
      <c r="AJ239" s="83">
        <f t="shared" si="36"/>
        <v>2880</v>
      </c>
      <c r="AK239" s="83">
        <f t="shared" si="37"/>
        <v>4320</v>
      </c>
      <c r="AL239" s="104">
        <f t="shared" si="38"/>
        <v>1.5425617461229177</v>
      </c>
      <c r="AM239" s="104">
        <f t="shared" si="39"/>
        <v>1.5425617461229177</v>
      </c>
      <c r="AN239" s="83">
        <f t="shared" si="40"/>
        <v>4442.5778288340034</v>
      </c>
      <c r="AO239" s="83">
        <f t="shared" si="41"/>
        <v>6663.8667432510047</v>
      </c>
      <c r="AP239" s="182">
        <f t="shared" si="42"/>
        <v>15.158697512877657</v>
      </c>
      <c r="AQ239" s="182">
        <f t="shared" si="43"/>
        <v>22.738046269316484</v>
      </c>
      <c r="AR239" s="85"/>
      <c r="AS239" s="85"/>
      <c r="AT239" s="53"/>
      <c r="AU239" s="53"/>
      <c r="AV239" s="53"/>
      <c r="AW239" s="53"/>
      <c r="AX239" s="53"/>
      <c r="AY239" s="53"/>
      <c r="AZ239" s="53"/>
      <c r="BA239" s="53"/>
      <c r="BB239" s="53"/>
      <c r="BC239" s="111">
        <f t="shared" si="44"/>
        <v>4442.5778288340034</v>
      </c>
      <c r="BD239" s="111">
        <f t="shared" si="45"/>
        <v>6663.8667432510047</v>
      </c>
    </row>
    <row r="240" spans="1:56" ht="21" customHeight="1" x14ac:dyDescent="0.25">
      <c r="A240" s="53">
        <v>230</v>
      </c>
      <c r="B240" s="53"/>
      <c r="C240" s="53"/>
      <c r="D240" s="53" t="s">
        <v>135</v>
      </c>
      <c r="E240" s="53"/>
      <c r="F240" s="53"/>
      <c r="G240" s="53" t="s">
        <v>290</v>
      </c>
      <c r="H240" s="53" t="s">
        <v>291</v>
      </c>
      <c r="I240" s="85" t="s">
        <v>321</v>
      </c>
      <c r="J240" s="85" t="s">
        <v>810</v>
      </c>
      <c r="K240" s="85" t="s">
        <v>813</v>
      </c>
      <c r="L240" s="53" t="s">
        <v>216</v>
      </c>
      <c r="M240" s="53" t="s">
        <v>295</v>
      </c>
      <c r="N240" s="53"/>
      <c r="O240" s="85" t="s">
        <v>135</v>
      </c>
      <c r="P240" s="53">
        <v>1</v>
      </c>
      <c r="Q240" s="183">
        <v>3</v>
      </c>
      <c r="R240" s="84">
        <v>0.87050000000000005</v>
      </c>
      <c r="S240" s="53"/>
      <c r="T240" s="53"/>
      <c r="U240" s="53">
        <v>3</v>
      </c>
      <c r="V240" s="53">
        <v>480</v>
      </c>
      <c r="X240" s="53"/>
      <c r="Y240" s="53"/>
      <c r="Z240" s="53"/>
      <c r="AA240" s="53"/>
      <c r="AB240" s="53"/>
      <c r="AC240" s="137" t="s">
        <v>124</v>
      </c>
      <c r="AD240" s="138" t="s">
        <v>118</v>
      </c>
      <c r="AE240" s="83">
        <v>8760</v>
      </c>
      <c r="AF240" s="139">
        <v>1</v>
      </c>
      <c r="AG240" s="139">
        <f t="shared" si="46"/>
        <v>0.82191780821917804</v>
      </c>
      <c r="AH240" s="139">
        <v>0.6</v>
      </c>
      <c r="AI240" s="139">
        <v>0.6</v>
      </c>
      <c r="AJ240" s="83">
        <f t="shared" si="36"/>
        <v>2880</v>
      </c>
      <c r="AK240" s="83">
        <f t="shared" si="37"/>
        <v>4320</v>
      </c>
      <c r="AL240" s="104">
        <f t="shared" si="38"/>
        <v>1.5425617461229177</v>
      </c>
      <c r="AM240" s="104">
        <f t="shared" si="39"/>
        <v>1.5425617461229177</v>
      </c>
      <c r="AN240" s="83">
        <f t="shared" si="40"/>
        <v>4442.5778288340034</v>
      </c>
      <c r="AO240" s="83">
        <f t="shared" si="41"/>
        <v>6663.8667432510047</v>
      </c>
      <c r="AP240" s="182">
        <f t="shared" si="42"/>
        <v>15.158697512877657</v>
      </c>
      <c r="AQ240" s="182">
        <f t="shared" si="43"/>
        <v>22.738046269316484</v>
      </c>
      <c r="AR240" s="85"/>
      <c r="AS240" s="85"/>
      <c r="AT240" s="53"/>
      <c r="AU240" s="53"/>
      <c r="AV240" s="53"/>
      <c r="AW240" s="53"/>
      <c r="AX240" s="53"/>
      <c r="AY240" s="53"/>
      <c r="AZ240" s="53"/>
      <c r="BA240" s="53"/>
      <c r="BB240" s="53"/>
      <c r="BC240" s="111">
        <f t="shared" si="44"/>
        <v>4442.5778288340034</v>
      </c>
      <c r="BD240" s="111">
        <f t="shared" si="45"/>
        <v>6663.8667432510047</v>
      </c>
    </row>
    <row r="241" spans="1:56" ht="21" customHeight="1" x14ac:dyDescent="0.25">
      <c r="A241" s="53">
        <v>231</v>
      </c>
      <c r="B241" s="53"/>
      <c r="C241" s="53"/>
      <c r="D241" s="53" t="s">
        <v>135</v>
      </c>
      <c r="E241" s="53"/>
      <c r="F241" s="53"/>
      <c r="G241" s="53" t="s">
        <v>290</v>
      </c>
      <c r="H241" s="53" t="s">
        <v>291</v>
      </c>
      <c r="I241" s="85" t="s">
        <v>321</v>
      </c>
      <c r="J241" s="85" t="s">
        <v>810</v>
      </c>
      <c r="K241" s="85" t="s">
        <v>814</v>
      </c>
      <c r="L241" s="53" t="s">
        <v>216</v>
      </c>
      <c r="M241" s="53" t="s">
        <v>295</v>
      </c>
      <c r="N241" s="53"/>
      <c r="O241" s="85" t="s">
        <v>135</v>
      </c>
      <c r="P241" s="53">
        <v>1</v>
      </c>
      <c r="Q241" s="183">
        <v>3</v>
      </c>
      <c r="R241" s="84">
        <v>0.87050000000000005</v>
      </c>
      <c r="S241" s="53"/>
      <c r="T241" s="53"/>
      <c r="U241" s="53">
        <v>3</v>
      </c>
      <c r="V241" s="53">
        <v>480</v>
      </c>
      <c r="X241" s="53"/>
      <c r="Y241" s="53"/>
      <c r="Z241" s="53"/>
      <c r="AA241" s="53"/>
      <c r="AB241" s="53"/>
      <c r="AC241" s="137" t="s">
        <v>124</v>
      </c>
      <c r="AD241" s="138" t="s">
        <v>118</v>
      </c>
      <c r="AE241" s="83">
        <v>8760</v>
      </c>
      <c r="AF241" s="139">
        <v>1</v>
      </c>
      <c r="AG241" s="139">
        <f t="shared" si="46"/>
        <v>0.82191780821917804</v>
      </c>
      <c r="AH241" s="139">
        <v>0.6</v>
      </c>
      <c r="AI241" s="139">
        <v>0.6</v>
      </c>
      <c r="AJ241" s="83">
        <f t="shared" si="36"/>
        <v>2880</v>
      </c>
      <c r="AK241" s="83">
        <f t="shared" si="37"/>
        <v>4320</v>
      </c>
      <c r="AL241" s="104">
        <f t="shared" si="38"/>
        <v>1.5425617461229177</v>
      </c>
      <c r="AM241" s="104">
        <f t="shared" si="39"/>
        <v>1.5425617461229177</v>
      </c>
      <c r="AN241" s="83">
        <f t="shared" si="40"/>
        <v>4442.5778288340034</v>
      </c>
      <c r="AO241" s="83">
        <f t="shared" si="41"/>
        <v>6663.8667432510047</v>
      </c>
      <c r="AP241" s="182">
        <f t="shared" si="42"/>
        <v>15.158697512877657</v>
      </c>
      <c r="AQ241" s="182">
        <f t="shared" si="43"/>
        <v>22.738046269316484</v>
      </c>
      <c r="AR241" s="85"/>
      <c r="AS241" s="85"/>
      <c r="AT241" s="53"/>
      <c r="AU241" s="53"/>
      <c r="AV241" s="53"/>
      <c r="AW241" s="53"/>
      <c r="AX241" s="53"/>
      <c r="AY241" s="53"/>
      <c r="AZ241" s="53"/>
      <c r="BA241" s="53"/>
      <c r="BB241" s="53"/>
      <c r="BC241" s="111">
        <f t="shared" si="44"/>
        <v>4442.5778288340034</v>
      </c>
      <c r="BD241" s="111">
        <f t="shared" si="45"/>
        <v>6663.8667432510047</v>
      </c>
    </row>
    <row r="242" spans="1:56" ht="21" customHeight="1" x14ac:dyDescent="0.25">
      <c r="A242" s="53">
        <v>232</v>
      </c>
      <c r="B242" s="53"/>
      <c r="C242" s="53"/>
      <c r="D242" s="53" t="s">
        <v>135</v>
      </c>
      <c r="E242" s="53"/>
      <c r="F242" s="53"/>
      <c r="G242" s="53" t="s">
        <v>290</v>
      </c>
      <c r="H242" s="53" t="s">
        <v>291</v>
      </c>
      <c r="I242" s="85" t="s">
        <v>321</v>
      </c>
      <c r="J242" s="85" t="s">
        <v>810</v>
      </c>
      <c r="K242" s="85" t="s">
        <v>815</v>
      </c>
      <c r="L242" s="53" t="s">
        <v>216</v>
      </c>
      <c r="M242" s="53" t="s">
        <v>295</v>
      </c>
      <c r="N242" s="53"/>
      <c r="O242" s="85" t="s">
        <v>135</v>
      </c>
      <c r="P242" s="53">
        <v>1</v>
      </c>
      <c r="Q242" s="183">
        <v>3</v>
      </c>
      <c r="R242" s="84">
        <v>0.87050000000000005</v>
      </c>
      <c r="S242" s="53"/>
      <c r="T242" s="53"/>
      <c r="U242" s="53">
        <v>3</v>
      </c>
      <c r="V242" s="53">
        <v>480</v>
      </c>
      <c r="X242" s="53"/>
      <c r="Y242" s="53"/>
      <c r="Z242" s="53"/>
      <c r="AA242" s="53"/>
      <c r="AB242" s="53"/>
      <c r="AC242" s="137" t="s">
        <v>124</v>
      </c>
      <c r="AD242" s="138" t="s">
        <v>118</v>
      </c>
      <c r="AE242" s="83">
        <v>8760</v>
      </c>
      <c r="AF242" s="139">
        <v>1</v>
      </c>
      <c r="AG242" s="139">
        <f t="shared" si="46"/>
        <v>0.82191780821917804</v>
      </c>
      <c r="AH242" s="139">
        <v>0.6</v>
      </c>
      <c r="AI242" s="139">
        <v>0.6</v>
      </c>
      <c r="AJ242" s="83">
        <f t="shared" si="36"/>
        <v>2880</v>
      </c>
      <c r="AK242" s="83">
        <f t="shared" si="37"/>
        <v>4320</v>
      </c>
      <c r="AL242" s="104">
        <f t="shared" si="38"/>
        <v>1.5425617461229177</v>
      </c>
      <c r="AM242" s="104">
        <f t="shared" si="39"/>
        <v>1.5425617461229177</v>
      </c>
      <c r="AN242" s="83">
        <f t="shared" si="40"/>
        <v>4442.5778288340034</v>
      </c>
      <c r="AO242" s="83">
        <f t="shared" si="41"/>
        <v>6663.8667432510047</v>
      </c>
      <c r="AP242" s="182">
        <f t="shared" si="42"/>
        <v>15.158697512877657</v>
      </c>
      <c r="AQ242" s="182">
        <f t="shared" si="43"/>
        <v>22.738046269316484</v>
      </c>
      <c r="AR242" s="85"/>
      <c r="AS242" s="85"/>
      <c r="AT242" s="53"/>
      <c r="AU242" s="53"/>
      <c r="AV242" s="53"/>
      <c r="AW242" s="53"/>
      <c r="AX242" s="53"/>
      <c r="AY242" s="53"/>
      <c r="AZ242" s="53"/>
      <c r="BA242" s="53"/>
      <c r="BB242" s="53"/>
      <c r="BC242" s="111">
        <f t="shared" si="44"/>
        <v>4442.5778288340034</v>
      </c>
      <c r="BD242" s="111">
        <f t="shared" si="45"/>
        <v>6663.8667432510047</v>
      </c>
    </row>
    <row r="243" spans="1:56" ht="21" customHeight="1" x14ac:dyDescent="0.25">
      <c r="A243" s="53">
        <v>233</v>
      </c>
      <c r="B243" s="53"/>
      <c r="C243" s="53"/>
      <c r="D243" s="53" t="s">
        <v>135</v>
      </c>
      <c r="E243" s="53"/>
      <c r="F243" s="53"/>
      <c r="G243" s="53" t="s">
        <v>290</v>
      </c>
      <c r="H243" s="53" t="s">
        <v>291</v>
      </c>
      <c r="I243" s="85" t="s">
        <v>321</v>
      </c>
      <c r="J243" s="85" t="s">
        <v>810</v>
      </c>
      <c r="K243" s="85" t="s">
        <v>816</v>
      </c>
      <c r="L243" s="53" t="s">
        <v>216</v>
      </c>
      <c r="M243" s="53" t="s">
        <v>295</v>
      </c>
      <c r="N243" s="53"/>
      <c r="O243" s="85" t="s">
        <v>135</v>
      </c>
      <c r="P243" s="53">
        <v>1</v>
      </c>
      <c r="Q243" s="183">
        <v>3</v>
      </c>
      <c r="R243" s="84">
        <v>0.87050000000000005</v>
      </c>
      <c r="S243" s="53"/>
      <c r="T243" s="53"/>
      <c r="U243" s="53">
        <v>3</v>
      </c>
      <c r="V243" s="53">
        <v>480</v>
      </c>
      <c r="X243" s="53"/>
      <c r="Y243" s="53"/>
      <c r="Z243" s="53"/>
      <c r="AA243" s="53"/>
      <c r="AB243" s="53"/>
      <c r="AC243" s="137" t="s">
        <v>124</v>
      </c>
      <c r="AD243" s="138" t="s">
        <v>118</v>
      </c>
      <c r="AE243" s="83">
        <v>8760</v>
      </c>
      <c r="AF243" s="139">
        <v>1</v>
      </c>
      <c r="AG243" s="139">
        <f t="shared" ref="AG243:AG274" si="47">$AB$7</f>
        <v>0.82191780821917804</v>
      </c>
      <c r="AH243" s="139">
        <v>0.6</v>
      </c>
      <c r="AI243" s="139">
        <v>0.6</v>
      </c>
      <c r="AJ243" s="83">
        <f t="shared" si="36"/>
        <v>2880</v>
      </c>
      <c r="AK243" s="83">
        <f t="shared" si="37"/>
        <v>4320</v>
      </c>
      <c r="AL243" s="104">
        <f t="shared" si="38"/>
        <v>1.5425617461229177</v>
      </c>
      <c r="AM243" s="104">
        <f t="shared" si="39"/>
        <v>1.5425617461229177</v>
      </c>
      <c r="AN243" s="83">
        <f t="shared" si="40"/>
        <v>4442.5778288340034</v>
      </c>
      <c r="AO243" s="83">
        <f t="shared" si="41"/>
        <v>6663.8667432510047</v>
      </c>
      <c r="AP243" s="182">
        <f t="shared" si="42"/>
        <v>15.158697512877657</v>
      </c>
      <c r="AQ243" s="182">
        <f t="shared" si="43"/>
        <v>22.738046269316484</v>
      </c>
      <c r="AR243" s="85"/>
      <c r="AS243" s="85"/>
      <c r="AT243" s="53"/>
      <c r="AU243" s="53"/>
      <c r="AV243" s="53"/>
      <c r="AW243" s="53"/>
      <c r="AX243" s="53"/>
      <c r="AY243" s="53"/>
      <c r="AZ243" s="53"/>
      <c r="BA243" s="53"/>
      <c r="BB243" s="53"/>
      <c r="BC243" s="111">
        <f t="shared" si="44"/>
        <v>4442.5778288340034</v>
      </c>
      <c r="BD243" s="111">
        <f t="shared" si="45"/>
        <v>6663.8667432510047</v>
      </c>
    </row>
    <row r="244" spans="1:56" ht="21" customHeight="1" x14ac:dyDescent="0.25">
      <c r="A244" s="53">
        <v>234</v>
      </c>
      <c r="B244" s="53"/>
      <c r="C244" s="53"/>
      <c r="D244" s="53" t="s">
        <v>135</v>
      </c>
      <c r="E244" s="53"/>
      <c r="F244" s="53"/>
      <c r="G244" s="53" t="s">
        <v>290</v>
      </c>
      <c r="H244" s="53" t="s">
        <v>291</v>
      </c>
      <c r="I244" s="85" t="s">
        <v>321</v>
      </c>
      <c r="J244" s="85" t="s">
        <v>810</v>
      </c>
      <c r="K244" s="85" t="s">
        <v>817</v>
      </c>
      <c r="L244" s="53" t="s">
        <v>216</v>
      </c>
      <c r="M244" s="53" t="s">
        <v>295</v>
      </c>
      <c r="N244" s="53"/>
      <c r="O244" s="85" t="s">
        <v>135</v>
      </c>
      <c r="P244" s="53">
        <v>1</v>
      </c>
      <c r="Q244" s="183">
        <v>3</v>
      </c>
      <c r="R244" s="84">
        <v>0.87050000000000005</v>
      </c>
      <c r="S244" s="53"/>
      <c r="T244" s="53"/>
      <c r="U244" s="53">
        <v>3</v>
      </c>
      <c r="V244" s="53">
        <v>480</v>
      </c>
      <c r="X244" s="53"/>
      <c r="Y244" s="53"/>
      <c r="Z244" s="53"/>
      <c r="AA244" s="53"/>
      <c r="AB244" s="53"/>
      <c r="AC244" s="137" t="s">
        <v>124</v>
      </c>
      <c r="AD244" s="138" t="s">
        <v>118</v>
      </c>
      <c r="AE244" s="83">
        <v>8760</v>
      </c>
      <c r="AF244" s="139">
        <v>1</v>
      </c>
      <c r="AG244" s="139">
        <f t="shared" si="47"/>
        <v>0.82191780821917804</v>
      </c>
      <c r="AH244" s="139">
        <v>0.6</v>
      </c>
      <c r="AI244" s="139">
        <v>0.6</v>
      </c>
      <c r="AJ244" s="83">
        <f t="shared" si="36"/>
        <v>2880</v>
      </c>
      <c r="AK244" s="83">
        <f t="shared" si="37"/>
        <v>4320</v>
      </c>
      <c r="AL244" s="104">
        <f t="shared" si="38"/>
        <v>1.5425617461229177</v>
      </c>
      <c r="AM244" s="104">
        <f t="shared" si="39"/>
        <v>1.5425617461229177</v>
      </c>
      <c r="AN244" s="83">
        <f t="shared" si="40"/>
        <v>4442.5778288340034</v>
      </c>
      <c r="AO244" s="83">
        <f t="shared" si="41"/>
        <v>6663.8667432510047</v>
      </c>
      <c r="AP244" s="182">
        <f t="shared" si="42"/>
        <v>15.158697512877657</v>
      </c>
      <c r="AQ244" s="182">
        <f t="shared" si="43"/>
        <v>22.738046269316484</v>
      </c>
      <c r="AR244" s="85"/>
      <c r="AS244" s="85"/>
      <c r="AT244" s="53"/>
      <c r="AU244" s="53"/>
      <c r="AV244" s="53"/>
      <c r="AW244" s="53"/>
      <c r="AX244" s="53"/>
      <c r="AY244" s="53"/>
      <c r="AZ244" s="53"/>
      <c r="BA244" s="53"/>
      <c r="BB244" s="53"/>
      <c r="BC244" s="111">
        <f t="shared" si="44"/>
        <v>4442.5778288340034</v>
      </c>
      <c r="BD244" s="111">
        <f t="shared" si="45"/>
        <v>6663.8667432510047</v>
      </c>
    </row>
    <row r="245" spans="1:56" ht="21" customHeight="1" x14ac:dyDescent="0.25">
      <c r="A245" s="53">
        <v>235</v>
      </c>
      <c r="B245" s="53"/>
      <c r="C245" s="53"/>
      <c r="D245" s="53" t="s">
        <v>135</v>
      </c>
      <c r="E245" s="53"/>
      <c r="F245" s="53"/>
      <c r="G245" s="53" t="s">
        <v>290</v>
      </c>
      <c r="H245" s="53" t="s">
        <v>291</v>
      </c>
      <c r="I245" s="85" t="s">
        <v>321</v>
      </c>
      <c r="J245" s="85" t="s">
        <v>810</v>
      </c>
      <c r="K245" s="85" t="s">
        <v>818</v>
      </c>
      <c r="L245" s="53" t="s">
        <v>216</v>
      </c>
      <c r="M245" s="53" t="s">
        <v>295</v>
      </c>
      <c r="N245" s="53"/>
      <c r="O245" s="85" t="s">
        <v>135</v>
      </c>
      <c r="P245" s="53">
        <v>1</v>
      </c>
      <c r="Q245" s="183">
        <v>3</v>
      </c>
      <c r="R245" s="84">
        <v>0.87050000000000005</v>
      </c>
      <c r="S245" s="53"/>
      <c r="T245" s="53"/>
      <c r="U245" s="53">
        <v>3</v>
      </c>
      <c r="V245" s="53">
        <v>480</v>
      </c>
      <c r="X245" s="53"/>
      <c r="Y245" s="53"/>
      <c r="Z245" s="53"/>
      <c r="AA245" s="53"/>
      <c r="AB245" s="53"/>
      <c r="AC245" s="137" t="s">
        <v>124</v>
      </c>
      <c r="AD245" s="138" t="s">
        <v>118</v>
      </c>
      <c r="AE245" s="83">
        <v>8760</v>
      </c>
      <c r="AF245" s="139">
        <v>1</v>
      </c>
      <c r="AG245" s="139">
        <f t="shared" si="47"/>
        <v>0.82191780821917804</v>
      </c>
      <c r="AH245" s="139">
        <v>0.6</v>
      </c>
      <c r="AI245" s="139">
        <v>0.6</v>
      </c>
      <c r="AJ245" s="83">
        <f t="shared" si="36"/>
        <v>2880</v>
      </c>
      <c r="AK245" s="83">
        <f t="shared" si="37"/>
        <v>4320</v>
      </c>
      <c r="AL245" s="104">
        <f t="shared" si="38"/>
        <v>1.5425617461229177</v>
      </c>
      <c r="AM245" s="104">
        <f t="shared" si="39"/>
        <v>1.5425617461229177</v>
      </c>
      <c r="AN245" s="83">
        <f t="shared" si="40"/>
        <v>4442.5778288340034</v>
      </c>
      <c r="AO245" s="83">
        <f t="shared" si="41"/>
        <v>6663.8667432510047</v>
      </c>
      <c r="AP245" s="182">
        <f t="shared" si="42"/>
        <v>15.158697512877657</v>
      </c>
      <c r="AQ245" s="182">
        <f t="shared" si="43"/>
        <v>22.738046269316484</v>
      </c>
      <c r="AR245" s="85"/>
      <c r="AS245" s="85"/>
      <c r="AT245" s="53"/>
      <c r="AU245" s="53"/>
      <c r="AV245" s="53"/>
      <c r="AW245" s="53"/>
      <c r="AX245" s="53"/>
      <c r="AY245" s="53"/>
      <c r="AZ245" s="53"/>
      <c r="BA245" s="53"/>
      <c r="BB245" s="53"/>
      <c r="BC245" s="111">
        <f t="shared" si="44"/>
        <v>4442.5778288340034</v>
      </c>
      <c r="BD245" s="111">
        <f t="shared" si="45"/>
        <v>6663.8667432510047</v>
      </c>
    </row>
    <row r="246" spans="1:56" ht="21" customHeight="1" x14ac:dyDescent="0.25">
      <c r="A246" s="53">
        <v>236</v>
      </c>
      <c r="B246" s="53"/>
      <c r="C246" s="53"/>
      <c r="D246" s="53" t="s">
        <v>135</v>
      </c>
      <c r="E246" s="53"/>
      <c r="F246" s="53"/>
      <c r="G246" s="53" t="s">
        <v>290</v>
      </c>
      <c r="H246" s="53" t="s">
        <v>291</v>
      </c>
      <c r="I246" s="85" t="s">
        <v>321</v>
      </c>
      <c r="J246" s="85" t="s">
        <v>321</v>
      </c>
      <c r="K246" s="85" t="s">
        <v>365</v>
      </c>
      <c r="L246" s="53" t="s">
        <v>216</v>
      </c>
      <c r="M246" s="53" t="s">
        <v>295</v>
      </c>
      <c r="N246" s="53"/>
      <c r="O246" s="85" t="s">
        <v>689</v>
      </c>
      <c r="P246" s="53">
        <v>1</v>
      </c>
      <c r="Q246" s="183">
        <v>7.5</v>
      </c>
      <c r="R246" s="84">
        <v>0.87050000000000005</v>
      </c>
      <c r="S246" s="53"/>
      <c r="T246" s="53"/>
      <c r="U246" s="53">
        <v>3</v>
      </c>
      <c r="V246" s="53">
        <v>480</v>
      </c>
      <c r="X246" s="53"/>
      <c r="Y246" s="53"/>
      <c r="Z246" s="53"/>
      <c r="AA246" s="53"/>
      <c r="AB246" s="53"/>
      <c r="AC246" s="137" t="s">
        <v>124</v>
      </c>
      <c r="AD246" s="138" t="s">
        <v>118</v>
      </c>
      <c r="AE246" s="83">
        <v>8760</v>
      </c>
      <c r="AF246" s="139">
        <v>1</v>
      </c>
      <c r="AG246" s="139">
        <f t="shared" si="47"/>
        <v>0.82191780821917804</v>
      </c>
      <c r="AH246" s="139">
        <v>0.6</v>
      </c>
      <c r="AI246" s="139">
        <v>0.6</v>
      </c>
      <c r="AJ246" s="83">
        <f t="shared" si="36"/>
        <v>2880</v>
      </c>
      <c r="AK246" s="83">
        <f t="shared" si="37"/>
        <v>4320</v>
      </c>
      <c r="AL246" s="104">
        <f t="shared" si="38"/>
        <v>3.8564043653072941</v>
      </c>
      <c r="AM246" s="104">
        <f t="shared" si="39"/>
        <v>3.8564043653072941</v>
      </c>
      <c r="AN246" s="83">
        <f t="shared" si="40"/>
        <v>11106.444572085007</v>
      </c>
      <c r="AO246" s="83">
        <f t="shared" si="41"/>
        <v>16659.666858127512</v>
      </c>
      <c r="AP246" s="182">
        <f t="shared" si="42"/>
        <v>37.896743782194136</v>
      </c>
      <c r="AQ246" s="182">
        <f t="shared" si="43"/>
        <v>56.845115673291204</v>
      </c>
      <c r="AR246" s="85"/>
      <c r="AS246" s="85"/>
      <c r="AT246" s="53"/>
      <c r="AU246" s="53"/>
      <c r="AV246" s="53"/>
      <c r="AW246" s="53"/>
      <c r="AX246" s="53"/>
      <c r="AY246" s="53"/>
      <c r="AZ246" s="53"/>
      <c r="BA246" s="53"/>
      <c r="BB246" s="53"/>
      <c r="BC246" s="111">
        <f t="shared" si="44"/>
        <v>11106.444572085007</v>
      </c>
      <c r="BD246" s="111">
        <f t="shared" si="45"/>
        <v>16659.666858127512</v>
      </c>
    </row>
    <row r="247" spans="1:56" ht="21" customHeight="1" x14ac:dyDescent="0.25">
      <c r="A247" s="53">
        <v>237</v>
      </c>
      <c r="B247" s="53"/>
      <c r="C247" s="53"/>
      <c r="D247" s="53" t="s">
        <v>135</v>
      </c>
      <c r="E247" s="53"/>
      <c r="F247" s="53"/>
      <c r="G247" s="53" t="s">
        <v>290</v>
      </c>
      <c r="H247" s="53" t="s">
        <v>291</v>
      </c>
      <c r="I247" s="85" t="s">
        <v>317</v>
      </c>
      <c r="J247" s="85" t="s">
        <v>318</v>
      </c>
      <c r="K247" s="85" t="s">
        <v>294</v>
      </c>
      <c r="L247" s="53" t="s">
        <v>216</v>
      </c>
      <c r="M247" s="53" t="s">
        <v>295</v>
      </c>
      <c r="N247" s="53"/>
      <c r="O247" s="85" t="s">
        <v>135</v>
      </c>
      <c r="P247" s="53">
        <v>1</v>
      </c>
      <c r="Q247" s="183">
        <v>75</v>
      </c>
      <c r="R247" s="84">
        <v>0.91149999999999998</v>
      </c>
      <c r="S247" s="53"/>
      <c r="T247" s="53"/>
      <c r="U247" s="53">
        <v>3</v>
      </c>
      <c r="V247" s="53">
        <v>480</v>
      </c>
      <c r="X247" s="53"/>
      <c r="Y247" s="53"/>
      <c r="Z247" s="53"/>
      <c r="AA247" s="53"/>
      <c r="AB247" s="53"/>
      <c r="AC247" s="137" t="s">
        <v>124</v>
      </c>
      <c r="AD247" s="138" t="s">
        <v>118</v>
      </c>
      <c r="AE247" s="83">
        <v>8760</v>
      </c>
      <c r="AF247" s="139">
        <v>1</v>
      </c>
      <c r="AG247" s="139">
        <f t="shared" si="47"/>
        <v>0.82191780821917804</v>
      </c>
      <c r="AH247" s="139">
        <v>0.75</v>
      </c>
      <c r="AI247" s="139">
        <v>0.75</v>
      </c>
      <c r="AJ247" s="83">
        <f t="shared" si="36"/>
        <v>2880</v>
      </c>
      <c r="AK247" s="83">
        <f t="shared" si="37"/>
        <v>4320</v>
      </c>
      <c r="AL247" s="104">
        <f t="shared" si="38"/>
        <v>46.036752605595176</v>
      </c>
      <c r="AM247" s="104">
        <f t="shared" si="39"/>
        <v>46.036752605595176</v>
      </c>
      <c r="AN247" s="83">
        <f t="shared" si="40"/>
        <v>132585.84750411409</v>
      </c>
      <c r="AO247" s="83">
        <f t="shared" si="41"/>
        <v>198878.77125617117</v>
      </c>
      <c r="AP247" s="182">
        <f t="shared" si="42"/>
        <v>452.40147370268784</v>
      </c>
      <c r="AQ247" s="182">
        <f t="shared" si="43"/>
        <v>678.6022105540319</v>
      </c>
      <c r="AR247" s="85"/>
      <c r="AS247" s="85"/>
      <c r="AT247" s="53"/>
      <c r="AU247" s="53"/>
      <c r="AV247" s="53"/>
      <c r="AW247" s="53"/>
      <c r="AX247" s="53"/>
      <c r="AY247" s="53"/>
      <c r="AZ247" s="53"/>
      <c r="BA247" s="53"/>
      <c r="BB247" s="53"/>
      <c r="BC247" s="111">
        <f t="shared" si="44"/>
        <v>132585.84750411409</v>
      </c>
      <c r="BD247" s="111">
        <f t="shared" si="45"/>
        <v>198878.77125617117</v>
      </c>
    </row>
    <row r="248" spans="1:56" ht="21" customHeight="1" x14ac:dyDescent="0.25">
      <c r="A248" s="53">
        <v>238</v>
      </c>
      <c r="B248" s="53"/>
      <c r="C248" s="53"/>
      <c r="D248" s="53" t="s">
        <v>135</v>
      </c>
      <c r="E248" s="53"/>
      <c r="F248" s="53"/>
      <c r="G248" s="53" t="s">
        <v>290</v>
      </c>
      <c r="H248" s="53" t="s">
        <v>291</v>
      </c>
      <c r="I248" s="85" t="s">
        <v>317</v>
      </c>
      <c r="J248" s="85" t="s">
        <v>318</v>
      </c>
      <c r="K248" s="85" t="s">
        <v>294</v>
      </c>
      <c r="L248" s="53" t="s">
        <v>216</v>
      </c>
      <c r="M248" s="53" t="s">
        <v>295</v>
      </c>
      <c r="N248" s="53"/>
      <c r="O248" s="85" t="s">
        <v>135</v>
      </c>
      <c r="P248" s="53">
        <v>1</v>
      </c>
      <c r="Q248" s="183">
        <v>75</v>
      </c>
      <c r="R248" s="84">
        <v>0.91149999999999998</v>
      </c>
      <c r="S248" s="53"/>
      <c r="T248" s="53"/>
      <c r="U248" s="53">
        <v>3</v>
      </c>
      <c r="V248" s="53">
        <v>480</v>
      </c>
      <c r="X248" s="53"/>
      <c r="Y248" s="53"/>
      <c r="Z248" s="53"/>
      <c r="AA248" s="53"/>
      <c r="AB248" s="53"/>
      <c r="AC248" s="137" t="s">
        <v>124</v>
      </c>
      <c r="AD248" s="138" t="s">
        <v>118</v>
      </c>
      <c r="AE248" s="83">
        <v>8760</v>
      </c>
      <c r="AF248" s="139">
        <v>1</v>
      </c>
      <c r="AG248" s="139">
        <f t="shared" si="47"/>
        <v>0.82191780821917804</v>
      </c>
      <c r="AH248" s="139">
        <v>0.75</v>
      </c>
      <c r="AI248" s="139">
        <v>0.75</v>
      </c>
      <c r="AJ248" s="83">
        <f t="shared" si="36"/>
        <v>2880</v>
      </c>
      <c r="AK248" s="83">
        <f t="shared" si="37"/>
        <v>4320</v>
      </c>
      <c r="AL248" s="104">
        <f t="shared" si="38"/>
        <v>46.036752605595176</v>
      </c>
      <c r="AM248" s="104">
        <f t="shared" si="39"/>
        <v>46.036752605595176</v>
      </c>
      <c r="AN248" s="83">
        <f t="shared" si="40"/>
        <v>132585.84750411409</v>
      </c>
      <c r="AO248" s="83">
        <f t="shared" si="41"/>
        <v>198878.77125617117</v>
      </c>
      <c r="AP248" s="182">
        <f t="shared" si="42"/>
        <v>452.40147370268784</v>
      </c>
      <c r="AQ248" s="182">
        <f t="shared" si="43"/>
        <v>678.6022105540319</v>
      </c>
      <c r="AR248" s="85"/>
      <c r="AS248" s="85"/>
      <c r="AT248" s="53"/>
      <c r="AU248" s="53"/>
      <c r="AV248" s="53"/>
      <c r="AW248" s="53"/>
      <c r="AX248" s="53"/>
      <c r="AY248" s="53"/>
      <c r="AZ248" s="53"/>
      <c r="BA248" s="53"/>
      <c r="BB248" s="53"/>
      <c r="BC248" s="111">
        <f t="shared" si="44"/>
        <v>132585.84750411409</v>
      </c>
      <c r="BD248" s="111">
        <f t="shared" si="45"/>
        <v>198878.77125617117</v>
      </c>
    </row>
    <row r="249" spans="1:56" ht="21" customHeight="1" x14ac:dyDescent="0.25">
      <c r="A249" s="53">
        <v>239</v>
      </c>
      <c r="B249" s="53"/>
      <c r="C249" s="53"/>
      <c r="D249" s="53" t="s">
        <v>135</v>
      </c>
      <c r="E249" s="53"/>
      <c r="F249" s="53"/>
      <c r="G249" s="53" t="s">
        <v>290</v>
      </c>
      <c r="H249" s="53" t="s">
        <v>291</v>
      </c>
      <c r="I249" s="85" t="s">
        <v>422</v>
      </c>
      <c r="J249" s="85" t="s">
        <v>690</v>
      </c>
      <c r="K249" s="85" t="s">
        <v>530</v>
      </c>
      <c r="L249" s="53" t="s">
        <v>216</v>
      </c>
      <c r="M249" s="53" t="s">
        <v>295</v>
      </c>
      <c r="N249" s="53"/>
      <c r="O249" s="85" t="s">
        <v>691</v>
      </c>
      <c r="P249" s="53">
        <v>1</v>
      </c>
      <c r="Q249" s="183">
        <v>7.5</v>
      </c>
      <c r="R249" s="84">
        <v>0.87050000000000005</v>
      </c>
      <c r="S249" s="53"/>
      <c r="T249" s="53"/>
      <c r="U249" s="53">
        <v>3</v>
      </c>
      <c r="V249" s="53">
        <v>480</v>
      </c>
      <c r="X249" s="53"/>
      <c r="Y249" s="53"/>
      <c r="Z249" s="53"/>
      <c r="AA249" s="53"/>
      <c r="AB249" s="53"/>
      <c r="AC249" s="137" t="s">
        <v>124</v>
      </c>
      <c r="AD249" s="138" t="s">
        <v>118</v>
      </c>
      <c r="AE249" s="83">
        <v>8760</v>
      </c>
      <c r="AF249" s="139">
        <v>1</v>
      </c>
      <c r="AG249" s="139">
        <f t="shared" si="47"/>
        <v>0.82191780821917804</v>
      </c>
      <c r="AH249" s="139">
        <v>0.6</v>
      </c>
      <c r="AI249" s="139">
        <v>0.6</v>
      </c>
      <c r="AJ249" s="83">
        <f t="shared" si="36"/>
        <v>2880</v>
      </c>
      <c r="AK249" s="83">
        <f t="shared" si="37"/>
        <v>4320</v>
      </c>
      <c r="AL249" s="104">
        <f t="shared" si="38"/>
        <v>3.8564043653072941</v>
      </c>
      <c r="AM249" s="104">
        <f t="shared" si="39"/>
        <v>3.8564043653072941</v>
      </c>
      <c r="AN249" s="83">
        <f t="shared" si="40"/>
        <v>11106.444572085007</v>
      </c>
      <c r="AO249" s="83">
        <f t="shared" si="41"/>
        <v>16659.666858127512</v>
      </c>
      <c r="AP249" s="182">
        <f t="shared" si="42"/>
        <v>37.896743782194136</v>
      </c>
      <c r="AQ249" s="182">
        <f t="shared" si="43"/>
        <v>56.845115673291204</v>
      </c>
      <c r="AR249" s="85"/>
      <c r="AS249" s="85"/>
      <c r="AT249" s="53"/>
      <c r="AU249" s="53"/>
      <c r="AV249" s="53"/>
      <c r="AW249" s="53"/>
      <c r="AX249" s="53"/>
      <c r="AY249" s="53"/>
      <c r="AZ249" s="53"/>
      <c r="BA249" s="53"/>
      <c r="BB249" s="53"/>
      <c r="BC249" s="111">
        <f t="shared" si="44"/>
        <v>11106.444572085007</v>
      </c>
      <c r="BD249" s="111">
        <f t="shared" si="45"/>
        <v>16659.666858127512</v>
      </c>
    </row>
    <row r="250" spans="1:56" ht="21" customHeight="1" x14ac:dyDescent="0.25">
      <c r="A250" s="53">
        <v>240</v>
      </c>
      <c r="B250" s="53"/>
      <c r="C250" s="53"/>
      <c r="D250" s="53" t="s">
        <v>135</v>
      </c>
      <c r="E250" s="53"/>
      <c r="F250" s="53"/>
      <c r="G250" s="53" t="s">
        <v>290</v>
      </c>
      <c r="H250" s="53" t="s">
        <v>291</v>
      </c>
      <c r="I250" s="85" t="s">
        <v>422</v>
      </c>
      <c r="J250" s="85" t="s">
        <v>690</v>
      </c>
      <c r="K250" s="85" t="s">
        <v>655</v>
      </c>
      <c r="L250" s="53" t="s">
        <v>216</v>
      </c>
      <c r="M250" s="53" t="s">
        <v>295</v>
      </c>
      <c r="N250" s="53"/>
      <c r="O250" s="85" t="s">
        <v>695</v>
      </c>
      <c r="P250" s="53">
        <v>1</v>
      </c>
      <c r="Q250" s="183">
        <v>7.5</v>
      </c>
      <c r="R250" s="84">
        <v>0.87050000000000005</v>
      </c>
      <c r="S250" s="53"/>
      <c r="T250" s="53"/>
      <c r="U250" s="53">
        <v>3</v>
      </c>
      <c r="V250" s="53">
        <v>480</v>
      </c>
      <c r="X250" s="53"/>
      <c r="Y250" s="53"/>
      <c r="Z250" s="53"/>
      <c r="AA250" s="53"/>
      <c r="AB250" s="53"/>
      <c r="AC250" s="137" t="s">
        <v>124</v>
      </c>
      <c r="AD250" s="138" t="s">
        <v>118</v>
      </c>
      <c r="AE250" s="83">
        <v>8760</v>
      </c>
      <c r="AF250" s="139">
        <v>1</v>
      </c>
      <c r="AG250" s="139">
        <f t="shared" si="47"/>
        <v>0.82191780821917804</v>
      </c>
      <c r="AH250" s="139">
        <v>0.6</v>
      </c>
      <c r="AI250" s="139">
        <v>0.6</v>
      </c>
      <c r="AJ250" s="83">
        <f t="shared" si="36"/>
        <v>2880</v>
      </c>
      <c r="AK250" s="83">
        <f t="shared" si="37"/>
        <v>4320</v>
      </c>
      <c r="AL250" s="104">
        <f t="shared" si="38"/>
        <v>3.8564043653072941</v>
      </c>
      <c r="AM250" s="104">
        <f t="shared" si="39"/>
        <v>3.8564043653072941</v>
      </c>
      <c r="AN250" s="83">
        <f t="shared" si="40"/>
        <v>11106.444572085007</v>
      </c>
      <c r="AO250" s="83">
        <f t="shared" si="41"/>
        <v>16659.666858127512</v>
      </c>
      <c r="AP250" s="182">
        <f t="shared" si="42"/>
        <v>37.896743782194136</v>
      </c>
      <c r="AQ250" s="182">
        <f t="shared" si="43"/>
        <v>56.845115673291204</v>
      </c>
      <c r="AR250" s="85"/>
      <c r="AS250" s="85"/>
      <c r="AT250" s="53"/>
      <c r="AU250" s="53"/>
      <c r="AV250" s="53"/>
      <c r="AW250" s="53"/>
      <c r="AX250" s="53"/>
      <c r="AY250" s="53"/>
      <c r="AZ250" s="53"/>
      <c r="BA250" s="53"/>
      <c r="BB250" s="53"/>
      <c r="BC250" s="111">
        <f t="shared" si="44"/>
        <v>11106.444572085007</v>
      </c>
      <c r="BD250" s="111">
        <f t="shared" si="45"/>
        <v>16659.666858127512</v>
      </c>
    </row>
    <row r="251" spans="1:56" ht="21" customHeight="1" x14ac:dyDescent="0.25">
      <c r="A251" s="53">
        <v>241</v>
      </c>
      <c r="B251" s="53"/>
      <c r="C251" s="53"/>
      <c r="D251" s="53" t="s">
        <v>135</v>
      </c>
      <c r="E251" s="53"/>
      <c r="F251" s="53"/>
      <c r="G251" s="53" t="s">
        <v>290</v>
      </c>
      <c r="H251" s="53" t="s">
        <v>291</v>
      </c>
      <c r="I251" s="85" t="s">
        <v>417</v>
      </c>
      <c r="J251" s="85" t="s">
        <v>359</v>
      </c>
      <c r="K251" s="85" t="s">
        <v>365</v>
      </c>
      <c r="L251" s="53" t="s">
        <v>216</v>
      </c>
      <c r="M251" s="53" t="s">
        <v>295</v>
      </c>
      <c r="N251" s="53"/>
      <c r="O251" s="85" t="s">
        <v>418</v>
      </c>
      <c r="P251" s="53">
        <v>1</v>
      </c>
      <c r="Q251" s="183">
        <v>40</v>
      </c>
      <c r="R251" s="84">
        <v>0.89250000000000007</v>
      </c>
      <c r="S251" s="53"/>
      <c r="T251" s="53"/>
      <c r="U251" s="53">
        <v>3</v>
      </c>
      <c r="V251" s="53">
        <v>480</v>
      </c>
      <c r="X251" s="53"/>
      <c r="Y251" s="53"/>
      <c r="Z251" s="53"/>
      <c r="AA251" s="53"/>
      <c r="AB251" s="53"/>
      <c r="AC251" s="137" t="s">
        <v>124</v>
      </c>
      <c r="AD251" s="138" t="s">
        <v>118</v>
      </c>
      <c r="AE251" s="83">
        <v>8760</v>
      </c>
      <c r="AF251" s="139">
        <v>1</v>
      </c>
      <c r="AG251" s="139">
        <f t="shared" si="47"/>
        <v>0.82191780821917804</v>
      </c>
      <c r="AH251" s="139">
        <v>0.6</v>
      </c>
      <c r="AI251" s="139">
        <v>0.6</v>
      </c>
      <c r="AJ251" s="83">
        <f t="shared" si="36"/>
        <v>2880</v>
      </c>
      <c r="AK251" s="83">
        <f t="shared" si="37"/>
        <v>4320</v>
      </c>
      <c r="AL251" s="104">
        <f t="shared" si="38"/>
        <v>20.060504201680669</v>
      </c>
      <c r="AM251" s="104">
        <f t="shared" si="39"/>
        <v>20.060504201680669</v>
      </c>
      <c r="AN251" s="83">
        <f t="shared" si="40"/>
        <v>57774.252100840327</v>
      </c>
      <c r="AO251" s="83">
        <f t="shared" si="41"/>
        <v>86661.378151260491</v>
      </c>
      <c r="AP251" s="182">
        <f t="shared" si="42"/>
        <v>197.13383656336131</v>
      </c>
      <c r="AQ251" s="182">
        <f t="shared" si="43"/>
        <v>295.70075484504201</v>
      </c>
      <c r="AR251" s="85"/>
      <c r="AS251" s="85"/>
      <c r="AT251" s="53"/>
      <c r="AU251" s="53"/>
      <c r="AV251" s="53"/>
      <c r="AW251" s="53"/>
      <c r="AX251" s="53"/>
      <c r="AY251" s="53"/>
      <c r="AZ251" s="53"/>
      <c r="BA251" s="53"/>
      <c r="BB251" s="53"/>
      <c r="BC251" s="111">
        <f t="shared" si="44"/>
        <v>57774.252100840327</v>
      </c>
      <c r="BD251" s="111">
        <f t="shared" si="45"/>
        <v>86661.378151260491</v>
      </c>
    </row>
    <row r="252" spans="1:56" ht="21" customHeight="1" x14ac:dyDescent="0.25">
      <c r="A252" s="53">
        <v>242</v>
      </c>
      <c r="B252" s="53"/>
      <c r="C252" s="53"/>
      <c r="D252" s="53" t="s">
        <v>135</v>
      </c>
      <c r="E252" s="53"/>
      <c r="F252" s="53"/>
      <c r="G252" s="53" t="s">
        <v>290</v>
      </c>
      <c r="H252" s="53" t="s">
        <v>291</v>
      </c>
      <c r="I252" s="85" t="s">
        <v>417</v>
      </c>
      <c r="J252" s="85" t="s">
        <v>359</v>
      </c>
      <c r="K252" s="85" t="s">
        <v>365</v>
      </c>
      <c r="L252" s="53" t="s">
        <v>216</v>
      </c>
      <c r="M252" s="53" t="s">
        <v>295</v>
      </c>
      <c r="N252" s="53"/>
      <c r="O252" s="85" t="s">
        <v>419</v>
      </c>
      <c r="P252" s="53">
        <v>1</v>
      </c>
      <c r="Q252" s="183">
        <v>40</v>
      </c>
      <c r="R252" s="84">
        <v>0.89250000000000007</v>
      </c>
      <c r="S252" s="53"/>
      <c r="T252" s="53"/>
      <c r="U252" s="53">
        <v>3</v>
      </c>
      <c r="V252" s="53">
        <v>480</v>
      </c>
      <c r="X252" s="53"/>
      <c r="Y252" s="53"/>
      <c r="Z252" s="53"/>
      <c r="AA252" s="53"/>
      <c r="AB252" s="53"/>
      <c r="AC252" s="137" t="s">
        <v>124</v>
      </c>
      <c r="AD252" s="138" t="s">
        <v>118</v>
      </c>
      <c r="AE252" s="83">
        <v>8760</v>
      </c>
      <c r="AF252" s="139">
        <v>1</v>
      </c>
      <c r="AG252" s="139">
        <f t="shared" si="47"/>
        <v>0.82191780821917804</v>
      </c>
      <c r="AH252" s="139">
        <v>0.6</v>
      </c>
      <c r="AI252" s="139">
        <v>0.6</v>
      </c>
      <c r="AJ252" s="83">
        <f t="shared" si="36"/>
        <v>2880</v>
      </c>
      <c r="AK252" s="83">
        <f t="shared" si="37"/>
        <v>4320</v>
      </c>
      <c r="AL252" s="104">
        <f t="shared" si="38"/>
        <v>20.060504201680669</v>
      </c>
      <c r="AM252" s="104">
        <f t="shared" si="39"/>
        <v>20.060504201680669</v>
      </c>
      <c r="AN252" s="83">
        <f t="shared" si="40"/>
        <v>57774.252100840327</v>
      </c>
      <c r="AO252" s="83">
        <f t="shared" si="41"/>
        <v>86661.378151260491</v>
      </c>
      <c r="AP252" s="182">
        <f t="shared" si="42"/>
        <v>197.13383656336131</v>
      </c>
      <c r="AQ252" s="182">
        <f t="shared" si="43"/>
        <v>295.70075484504201</v>
      </c>
      <c r="AR252" s="85"/>
      <c r="AS252" s="85"/>
      <c r="AT252" s="53"/>
      <c r="AU252" s="53"/>
      <c r="AV252" s="53"/>
      <c r="AW252" s="53"/>
      <c r="AX252" s="53"/>
      <c r="AY252" s="53"/>
      <c r="AZ252" s="53"/>
      <c r="BA252" s="53"/>
      <c r="BB252" s="53"/>
      <c r="BC252" s="111">
        <f t="shared" si="44"/>
        <v>57774.252100840327</v>
      </c>
      <c r="BD252" s="111">
        <f t="shared" si="45"/>
        <v>86661.378151260491</v>
      </c>
    </row>
    <row r="253" spans="1:56" ht="21" customHeight="1" x14ac:dyDescent="0.25">
      <c r="A253" s="53">
        <v>243</v>
      </c>
      <c r="B253" s="53"/>
      <c r="C253" s="53"/>
      <c r="D253" s="53" t="s">
        <v>135</v>
      </c>
      <c r="E253" s="53"/>
      <c r="F253" s="53"/>
      <c r="G253" s="53" t="s">
        <v>290</v>
      </c>
      <c r="H253" s="53" t="s">
        <v>291</v>
      </c>
      <c r="I253" s="85" t="s">
        <v>417</v>
      </c>
      <c r="J253" s="85" t="s">
        <v>359</v>
      </c>
      <c r="K253" s="85" t="s">
        <v>365</v>
      </c>
      <c r="L253" s="53" t="s">
        <v>216</v>
      </c>
      <c r="M253" s="53" t="s">
        <v>295</v>
      </c>
      <c r="N253" s="53"/>
      <c r="O253" s="85" t="s">
        <v>420</v>
      </c>
      <c r="P253" s="53">
        <v>1</v>
      </c>
      <c r="Q253" s="183">
        <v>40</v>
      </c>
      <c r="R253" s="84">
        <v>0.89250000000000007</v>
      </c>
      <c r="S253" s="53"/>
      <c r="T253" s="53"/>
      <c r="U253" s="53">
        <v>3</v>
      </c>
      <c r="V253" s="53">
        <v>480</v>
      </c>
      <c r="X253" s="53"/>
      <c r="Y253" s="53"/>
      <c r="Z253" s="53"/>
      <c r="AA253" s="53"/>
      <c r="AB253" s="53"/>
      <c r="AC253" s="137" t="s">
        <v>124</v>
      </c>
      <c r="AD253" s="138" t="s">
        <v>118</v>
      </c>
      <c r="AE253" s="83">
        <v>8760</v>
      </c>
      <c r="AF253" s="139">
        <v>1</v>
      </c>
      <c r="AG253" s="139">
        <f t="shared" si="47"/>
        <v>0.82191780821917804</v>
      </c>
      <c r="AH253" s="139">
        <v>0.6</v>
      </c>
      <c r="AI253" s="139">
        <v>0.6</v>
      </c>
      <c r="AJ253" s="83">
        <f t="shared" si="36"/>
        <v>2880</v>
      </c>
      <c r="AK253" s="83">
        <f t="shared" si="37"/>
        <v>4320</v>
      </c>
      <c r="AL253" s="104">
        <f t="shared" si="38"/>
        <v>20.060504201680669</v>
      </c>
      <c r="AM253" s="104">
        <f t="shared" si="39"/>
        <v>20.060504201680669</v>
      </c>
      <c r="AN253" s="83">
        <f t="shared" si="40"/>
        <v>57774.252100840327</v>
      </c>
      <c r="AO253" s="83">
        <f t="shared" si="41"/>
        <v>86661.378151260491</v>
      </c>
      <c r="AP253" s="182">
        <f t="shared" si="42"/>
        <v>197.13383656336131</v>
      </c>
      <c r="AQ253" s="182">
        <f t="shared" si="43"/>
        <v>295.70075484504201</v>
      </c>
      <c r="AR253" s="85"/>
      <c r="AS253" s="85"/>
      <c r="AT253" s="53"/>
      <c r="AU253" s="53"/>
      <c r="AV253" s="53"/>
      <c r="AW253" s="53"/>
      <c r="AX253" s="53"/>
      <c r="AY253" s="53"/>
      <c r="AZ253" s="53"/>
      <c r="BA253" s="53"/>
      <c r="BB253" s="53"/>
      <c r="BC253" s="111">
        <f t="shared" si="44"/>
        <v>57774.252100840327</v>
      </c>
      <c r="BD253" s="111">
        <f t="shared" si="45"/>
        <v>86661.378151260491</v>
      </c>
    </row>
    <row r="254" spans="1:56" ht="21" customHeight="1" x14ac:dyDescent="0.25">
      <c r="A254" s="53">
        <v>244</v>
      </c>
      <c r="B254" s="53"/>
      <c r="C254" s="53"/>
      <c r="D254" s="53" t="s">
        <v>135</v>
      </c>
      <c r="E254" s="53"/>
      <c r="F254" s="53"/>
      <c r="G254" s="53" t="s">
        <v>290</v>
      </c>
      <c r="H254" s="53" t="s">
        <v>291</v>
      </c>
      <c r="I254" s="85" t="s">
        <v>417</v>
      </c>
      <c r="J254" s="85" t="s">
        <v>359</v>
      </c>
      <c r="K254" s="85" t="s">
        <v>365</v>
      </c>
      <c r="L254" s="53" t="s">
        <v>216</v>
      </c>
      <c r="M254" s="53" t="s">
        <v>295</v>
      </c>
      <c r="N254" s="53"/>
      <c r="O254" s="85" t="s">
        <v>421</v>
      </c>
      <c r="P254" s="53">
        <v>1</v>
      </c>
      <c r="Q254" s="183">
        <v>40</v>
      </c>
      <c r="R254" s="84">
        <v>0.89250000000000007</v>
      </c>
      <c r="S254" s="53"/>
      <c r="T254" s="53"/>
      <c r="U254" s="53">
        <v>3</v>
      </c>
      <c r="V254" s="53">
        <v>480</v>
      </c>
      <c r="X254" s="53"/>
      <c r="Y254" s="53"/>
      <c r="Z254" s="53"/>
      <c r="AA254" s="53"/>
      <c r="AB254" s="53"/>
      <c r="AC254" s="137" t="s">
        <v>124</v>
      </c>
      <c r="AD254" s="138" t="s">
        <v>118</v>
      </c>
      <c r="AE254" s="83">
        <v>8760</v>
      </c>
      <c r="AF254" s="139">
        <v>1</v>
      </c>
      <c r="AG254" s="139">
        <f t="shared" si="47"/>
        <v>0.82191780821917804</v>
      </c>
      <c r="AH254" s="139">
        <v>0.6</v>
      </c>
      <c r="AI254" s="139">
        <v>0.6</v>
      </c>
      <c r="AJ254" s="83">
        <f t="shared" si="36"/>
        <v>2880</v>
      </c>
      <c r="AK254" s="83">
        <f t="shared" si="37"/>
        <v>4320</v>
      </c>
      <c r="AL254" s="104">
        <f t="shared" si="38"/>
        <v>20.060504201680669</v>
      </c>
      <c r="AM254" s="104">
        <f t="shared" si="39"/>
        <v>20.060504201680669</v>
      </c>
      <c r="AN254" s="83">
        <f t="shared" si="40"/>
        <v>57774.252100840327</v>
      </c>
      <c r="AO254" s="83">
        <f t="shared" si="41"/>
        <v>86661.378151260491</v>
      </c>
      <c r="AP254" s="182">
        <f t="shared" si="42"/>
        <v>197.13383656336131</v>
      </c>
      <c r="AQ254" s="182">
        <f t="shared" si="43"/>
        <v>295.70075484504201</v>
      </c>
      <c r="AR254" s="85"/>
      <c r="AS254" s="85"/>
      <c r="AT254" s="53"/>
      <c r="AU254" s="53"/>
      <c r="AV254" s="53"/>
      <c r="AW254" s="53"/>
      <c r="AX254" s="53"/>
      <c r="AY254" s="53"/>
      <c r="AZ254" s="53"/>
      <c r="BA254" s="53"/>
      <c r="BB254" s="53"/>
      <c r="BC254" s="111">
        <f t="shared" si="44"/>
        <v>57774.252100840327</v>
      </c>
      <c r="BD254" s="111">
        <f t="shared" si="45"/>
        <v>86661.378151260491</v>
      </c>
    </row>
    <row r="255" spans="1:56" ht="21" customHeight="1" x14ac:dyDescent="0.25">
      <c r="A255" s="53">
        <v>245</v>
      </c>
      <c r="B255" s="53"/>
      <c r="C255" s="53"/>
      <c r="D255" s="53" t="s">
        <v>135</v>
      </c>
      <c r="E255" s="53"/>
      <c r="F255" s="53"/>
      <c r="G255" s="53" t="s">
        <v>290</v>
      </c>
      <c r="H255" s="53" t="s">
        <v>291</v>
      </c>
      <c r="I255" s="85" t="s">
        <v>726</v>
      </c>
      <c r="J255" s="85" t="s">
        <v>727</v>
      </c>
      <c r="K255" s="85" t="s">
        <v>721</v>
      </c>
      <c r="L255" s="53" t="s">
        <v>722</v>
      </c>
      <c r="M255" s="53" t="s">
        <v>723</v>
      </c>
      <c r="N255" s="53"/>
      <c r="O255" s="85" t="s">
        <v>724</v>
      </c>
      <c r="P255" s="53">
        <v>1</v>
      </c>
      <c r="Q255" s="183">
        <v>0</v>
      </c>
      <c r="R255" s="84"/>
      <c r="S255" s="53">
        <v>16.7</v>
      </c>
      <c r="T255" s="53"/>
      <c r="U255" s="163">
        <v>3</v>
      </c>
      <c r="V255" s="163">
        <v>480</v>
      </c>
      <c r="X255" s="53"/>
      <c r="Y255" s="53"/>
      <c r="Z255" s="53"/>
      <c r="AA255" s="53"/>
      <c r="AB255" s="53"/>
      <c r="AC255" s="137" t="s">
        <v>117</v>
      </c>
      <c r="AD255" s="138" t="s">
        <v>118</v>
      </c>
      <c r="AE255" s="83">
        <v>8760</v>
      </c>
      <c r="AF255" s="139">
        <v>1</v>
      </c>
      <c r="AG255" s="139">
        <f t="shared" si="47"/>
        <v>0.82191780821917804</v>
      </c>
      <c r="AH255" s="139">
        <v>0.25</v>
      </c>
      <c r="AI255" s="139">
        <v>0.25</v>
      </c>
      <c r="AJ255" s="83">
        <f t="shared" si="36"/>
        <v>2880</v>
      </c>
      <c r="AK255" s="83">
        <f t="shared" si="37"/>
        <v>4320</v>
      </c>
      <c r="AL255" s="104">
        <f t="shared" si="38"/>
        <v>3.1238351999999998</v>
      </c>
      <c r="AM255" s="104">
        <f t="shared" si="39"/>
        <v>3.1238351999999998</v>
      </c>
      <c r="AN255" s="83">
        <f t="shared" si="40"/>
        <v>8996.6453759999986</v>
      </c>
      <c r="AO255" s="83">
        <f t="shared" si="41"/>
        <v>13494.968063999999</v>
      </c>
      <c r="AP255" s="182">
        <f t="shared" si="42"/>
        <v>30.697813553264634</v>
      </c>
      <c r="AQ255" s="182">
        <f t="shared" si="43"/>
        <v>46.046720329896957</v>
      </c>
      <c r="AR255" s="85"/>
      <c r="AS255" s="85"/>
      <c r="AT255" s="53"/>
      <c r="AU255" s="53"/>
      <c r="AV255" s="53"/>
      <c r="AW255" s="53"/>
      <c r="AX255" s="53"/>
      <c r="AY255" s="53"/>
      <c r="AZ255" s="53"/>
      <c r="BA255" s="53"/>
      <c r="BB255" s="53"/>
      <c r="BC255" s="111">
        <f t="shared" si="44"/>
        <v>8996.6453759999986</v>
      </c>
      <c r="BD255" s="111">
        <f t="shared" si="45"/>
        <v>13494.968063999999</v>
      </c>
    </row>
    <row r="256" spans="1:56" ht="21" customHeight="1" x14ac:dyDescent="0.25">
      <c r="A256" s="53">
        <v>246</v>
      </c>
      <c r="B256" s="53"/>
      <c r="C256" s="53"/>
      <c r="D256" s="53" t="s">
        <v>135</v>
      </c>
      <c r="E256" s="53"/>
      <c r="F256" s="53"/>
      <c r="G256" s="53" t="s">
        <v>290</v>
      </c>
      <c r="H256" s="53" t="s">
        <v>291</v>
      </c>
      <c r="I256" s="85" t="s">
        <v>543</v>
      </c>
      <c r="J256" s="85" t="s">
        <v>533</v>
      </c>
      <c r="K256" s="85" t="s">
        <v>448</v>
      </c>
      <c r="L256" s="53" t="s">
        <v>216</v>
      </c>
      <c r="M256" s="53" t="s">
        <v>252</v>
      </c>
      <c r="N256" s="53"/>
      <c r="O256" s="85" t="s">
        <v>135</v>
      </c>
      <c r="P256" s="53">
        <v>1</v>
      </c>
      <c r="Q256" s="183">
        <v>20</v>
      </c>
      <c r="R256" s="84">
        <v>0.89700000000000002</v>
      </c>
      <c r="S256" s="53"/>
      <c r="T256" s="53"/>
      <c r="U256" s="53">
        <v>3</v>
      </c>
      <c r="V256" s="53">
        <v>480</v>
      </c>
      <c r="X256" s="53"/>
      <c r="Y256" s="53"/>
      <c r="Z256" s="53"/>
      <c r="AA256" s="53"/>
      <c r="AB256" s="53"/>
      <c r="AC256" s="137" t="s">
        <v>124</v>
      </c>
      <c r="AD256" s="138" t="s">
        <v>118</v>
      </c>
      <c r="AE256" s="83">
        <v>8760</v>
      </c>
      <c r="AF256" s="139">
        <v>1</v>
      </c>
      <c r="AG256" s="139">
        <f t="shared" si="47"/>
        <v>0.82191780821917804</v>
      </c>
      <c r="AH256" s="139">
        <v>0.6</v>
      </c>
      <c r="AI256" s="139">
        <v>0.6</v>
      </c>
      <c r="AJ256" s="83">
        <f t="shared" si="36"/>
        <v>2880</v>
      </c>
      <c r="AK256" s="83">
        <f t="shared" si="37"/>
        <v>4320</v>
      </c>
      <c r="AL256" s="104">
        <f t="shared" si="38"/>
        <v>9.9799331103678917</v>
      </c>
      <c r="AM256" s="104">
        <f t="shared" si="39"/>
        <v>9.9799331103678917</v>
      </c>
      <c r="AN256" s="83">
        <f t="shared" si="40"/>
        <v>28742.207357859526</v>
      </c>
      <c r="AO256" s="83">
        <f t="shared" si="41"/>
        <v>43113.311036789295</v>
      </c>
      <c r="AP256" s="182">
        <f t="shared" si="42"/>
        <v>98.072435414046794</v>
      </c>
      <c r="AQ256" s="182">
        <f t="shared" si="43"/>
        <v>147.1086531210702</v>
      </c>
      <c r="AR256" s="85"/>
      <c r="AS256" s="85"/>
      <c r="AT256" s="53"/>
      <c r="AU256" s="53"/>
      <c r="AV256" s="53"/>
      <c r="AW256" s="53"/>
      <c r="AX256" s="53"/>
      <c r="AY256" s="53"/>
      <c r="AZ256" s="53"/>
      <c r="BA256" s="53"/>
      <c r="BB256" s="53"/>
      <c r="BC256" s="111">
        <f t="shared" si="44"/>
        <v>28742.207357859526</v>
      </c>
      <c r="BD256" s="111">
        <f t="shared" si="45"/>
        <v>43113.311036789295</v>
      </c>
    </row>
    <row r="257" spans="1:56" ht="21" customHeight="1" x14ac:dyDescent="0.25">
      <c r="A257" s="53">
        <v>247</v>
      </c>
      <c r="B257" s="53"/>
      <c r="C257" s="53"/>
      <c r="D257" s="53" t="s">
        <v>135</v>
      </c>
      <c r="E257" s="53"/>
      <c r="F257" s="53"/>
      <c r="G257" s="53" t="s">
        <v>290</v>
      </c>
      <c r="H257" s="53" t="s">
        <v>291</v>
      </c>
      <c r="I257" s="85" t="s">
        <v>543</v>
      </c>
      <c r="J257" s="85" t="s">
        <v>535</v>
      </c>
      <c r="K257" s="85" t="s">
        <v>448</v>
      </c>
      <c r="L257" s="53" t="s">
        <v>216</v>
      </c>
      <c r="M257" s="53" t="s">
        <v>252</v>
      </c>
      <c r="N257" s="53"/>
      <c r="O257" s="85" t="s">
        <v>135</v>
      </c>
      <c r="P257" s="53">
        <v>1</v>
      </c>
      <c r="Q257" s="183">
        <v>20</v>
      </c>
      <c r="R257" s="84">
        <v>0.89700000000000002</v>
      </c>
      <c r="S257" s="53"/>
      <c r="T257" s="53"/>
      <c r="U257" s="53">
        <v>3</v>
      </c>
      <c r="V257" s="53">
        <v>480</v>
      </c>
      <c r="X257" s="53"/>
      <c r="Y257" s="53"/>
      <c r="Z257" s="53"/>
      <c r="AA257" s="53"/>
      <c r="AB257" s="53"/>
      <c r="AC257" s="137" t="s">
        <v>124</v>
      </c>
      <c r="AD257" s="138" t="s">
        <v>118</v>
      </c>
      <c r="AE257" s="83">
        <v>8760</v>
      </c>
      <c r="AF257" s="139">
        <v>1</v>
      </c>
      <c r="AG257" s="139">
        <f t="shared" si="47"/>
        <v>0.82191780821917804</v>
      </c>
      <c r="AH257" s="139">
        <v>0.6</v>
      </c>
      <c r="AI257" s="139">
        <v>0.6</v>
      </c>
      <c r="AJ257" s="83">
        <f t="shared" si="36"/>
        <v>2880</v>
      </c>
      <c r="AK257" s="83">
        <f t="shared" si="37"/>
        <v>4320</v>
      </c>
      <c r="AL257" s="104">
        <f t="shared" si="38"/>
        <v>9.9799331103678917</v>
      </c>
      <c r="AM257" s="104">
        <f t="shared" si="39"/>
        <v>9.9799331103678917</v>
      </c>
      <c r="AN257" s="83">
        <f t="shared" si="40"/>
        <v>28742.207357859526</v>
      </c>
      <c r="AO257" s="83">
        <f t="shared" si="41"/>
        <v>43113.311036789295</v>
      </c>
      <c r="AP257" s="182">
        <f t="shared" si="42"/>
        <v>98.072435414046794</v>
      </c>
      <c r="AQ257" s="182">
        <f t="shared" si="43"/>
        <v>147.1086531210702</v>
      </c>
      <c r="AR257" s="85"/>
      <c r="AS257" s="85"/>
      <c r="AT257" s="53"/>
      <c r="AU257" s="53"/>
      <c r="AV257" s="53"/>
      <c r="AW257" s="53"/>
      <c r="AX257" s="53"/>
      <c r="AY257" s="53"/>
      <c r="AZ257" s="53"/>
      <c r="BA257" s="53"/>
      <c r="BB257" s="53"/>
      <c r="BC257" s="111">
        <f t="shared" si="44"/>
        <v>28742.207357859526</v>
      </c>
      <c r="BD257" s="111">
        <f t="shared" si="45"/>
        <v>43113.311036789295</v>
      </c>
    </row>
    <row r="258" spans="1:56" ht="21" customHeight="1" x14ac:dyDescent="0.25">
      <c r="A258" s="53">
        <v>248</v>
      </c>
      <c r="B258" s="53"/>
      <c r="C258" s="53"/>
      <c r="D258" s="53" t="s">
        <v>135</v>
      </c>
      <c r="E258" s="53"/>
      <c r="F258" s="53"/>
      <c r="G258" s="53" t="s">
        <v>290</v>
      </c>
      <c r="H258" s="53" t="s">
        <v>291</v>
      </c>
      <c r="I258" s="85" t="s">
        <v>543</v>
      </c>
      <c r="J258" s="85" t="s">
        <v>848</v>
      </c>
      <c r="K258" s="85" t="s">
        <v>448</v>
      </c>
      <c r="L258" s="53" t="s">
        <v>216</v>
      </c>
      <c r="M258" s="53" t="s">
        <v>252</v>
      </c>
      <c r="N258" s="53"/>
      <c r="O258" s="85" t="s">
        <v>135</v>
      </c>
      <c r="P258" s="53">
        <v>1</v>
      </c>
      <c r="Q258" s="183">
        <v>2</v>
      </c>
      <c r="R258" s="84">
        <v>0.87050000000000005</v>
      </c>
      <c r="S258" s="53"/>
      <c r="T258" s="53"/>
      <c r="U258" s="53">
        <v>3</v>
      </c>
      <c r="V258" s="53">
        <v>480</v>
      </c>
      <c r="X258" s="53"/>
      <c r="Y258" s="53"/>
      <c r="Z258" s="53"/>
      <c r="AA258" s="53"/>
      <c r="AB258" s="53"/>
      <c r="AC258" s="137" t="s">
        <v>124</v>
      </c>
      <c r="AD258" s="138" t="s">
        <v>118</v>
      </c>
      <c r="AE258" s="83">
        <v>8760</v>
      </c>
      <c r="AF258" s="139">
        <v>1</v>
      </c>
      <c r="AG258" s="139">
        <f t="shared" si="47"/>
        <v>0.82191780821917804</v>
      </c>
      <c r="AH258" s="139">
        <v>0.6</v>
      </c>
      <c r="AI258" s="139">
        <v>0.6</v>
      </c>
      <c r="AJ258" s="83">
        <f t="shared" si="36"/>
        <v>2880</v>
      </c>
      <c r="AK258" s="83">
        <f t="shared" si="37"/>
        <v>4320</v>
      </c>
      <c r="AL258" s="104">
        <f t="shared" si="38"/>
        <v>1.0283744974152784</v>
      </c>
      <c r="AM258" s="104">
        <f t="shared" si="39"/>
        <v>1.0283744974152784</v>
      </c>
      <c r="AN258" s="83">
        <f t="shared" si="40"/>
        <v>2961.7185525560017</v>
      </c>
      <c r="AO258" s="83">
        <f t="shared" si="41"/>
        <v>4442.5778288340025</v>
      </c>
      <c r="AP258" s="182">
        <f t="shared" si="42"/>
        <v>10.105798341918435</v>
      </c>
      <c r="AQ258" s="182">
        <f t="shared" si="43"/>
        <v>15.158697512877652</v>
      </c>
      <c r="AR258" s="85"/>
      <c r="AS258" s="85"/>
      <c r="AT258" s="53"/>
      <c r="AU258" s="53"/>
      <c r="AV258" s="53"/>
      <c r="AW258" s="53"/>
      <c r="AX258" s="53"/>
      <c r="AY258" s="53"/>
      <c r="AZ258" s="53"/>
      <c r="BA258" s="53"/>
      <c r="BB258" s="53"/>
      <c r="BC258" s="111">
        <f t="shared" si="44"/>
        <v>2961.7185525560017</v>
      </c>
      <c r="BD258" s="111">
        <f t="shared" si="45"/>
        <v>4442.5778288340025</v>
      </c>
    </row>
    <row r="259" spans="1:56" ht="21" customHeight="1" x14ac:dyDescent="0.25">
      <c r="A259" s="53">
        <v>249</v>
      </c>
      <c r="B259" s="53"/>
      <c r="C259" s="53"/>
      <c r="D259" s="53" t="s">
        <v>135</v>
      </c>
      <c r="E259" s="53"/>
      <c r="F259" s="53"/>
      <c r="G259" s="53" t="s">
        <v>290</v>
      </c>
      <c r="H259" s="53" t="s">
        <v>291</v>
      </c>
      <c r="I259" s="85" t="s">
        <v>323</v>
      </c>
      <c r="J259" s="85" t="s">
        <v>324</v>
      </c>
      <c r="K259" s="85" t="s">
        <v>294</v>
      </c>
      <c r="L259" s="53" t="s">
        <v>216</v>
      </c>
      <c r="M259" s="53" t="s">
        <v>295</v>
      </c>
      <c r="N259" s="53"/>
      <c r="O259" s="85" t="s">
        <v>135</v>
      </c>
      <c r="P259" s="53">
        <v>1</v>
      </c>
      <c r="Q259" s="183">
        <v>60</v>
      </c>
      <c r="R259" s="84">
        <v>0.91300000000000003</v>
      </c>
      <c r="S259" s="53"/>
      <c r="T259" s="53"/>
      <c r="U259" s="53">
        <v>3</v>
      </c>
      <c r="V259" s="53">
        <v>480</v>
      </c>
      <c r="X259" s="53"/>
      <c r="Y259" s="53"/>
      <c r="Z259" s="53"/>
      <c r="AA259" s="53"/>
      <c r="AB259" s="53"/>
      <c r="AC259" s="137" t="s">
        <v>124</v>
      </c>
      <c r="AD259" s="138" t="s">
        <v>118</v>
      </c>
      <c r="AE259" s="83">
        <v>8760</v>
      </c>
      <c r="AF259" s="139">
        <v>1</v>
      </c>
      <c r="AG259" s="139">
        <f t="shared" si="47"/>
        <v>0.82191780821917804</v>
      </c>
      <c r="AH259" s="139">
        <v>0.75</v>
      </c>
      <c r="AI259" s="139">
        <v>0.75</v>
      </c>
      <c r="AJ259" s="83">
        <f t="shared" si="36"/>
        <v>2880</v>
      </c>
      <c r="AK259" s="83">
        <f t="shared" si="37"/>
        <v>4320</v>
      </c>
      <c r="AL259" s="104">
        <f t="shared" si="38"/>
        <v>36.768893756845564</v>
      </c>
      <c r="AM259" s="104">
        <f t="shared" si="39"/>
        <v>36.768893756845564</v>
      </c>
      <c r="AN259" s="83">
        <f t="shared" si="40"/>
        <v>105894.41401971523</v>
      </c>
      <c r="AO259" s="83">
        <f t="shared" si="41"/>
        <v>158841.62102957282</v>
      </c>
      <c r="AP259" s="182">
        <f t="shared" si="42"/>
        <v>361.32656585323116</v>
      </c>
      <c r="AQ259" s="182">
        <f t="shared" si="43"/>
        <v>541.98984877984651</v>
      </c>
      <c r="AR259" s="85"/>
      <c r="AS259" s="85"/>
      <c r="AT259" s="53"/>
      <c r="AU259" s="53"/>
      <c r="AV259" s="53"/>
      <c r="AW259" s="53"/>
      <c r="AX259" s="53"/>
      <c r="AY259" s="53"/>
      <c r="AZ259" s="53"/>
      <c r="BA259" s="53"/>
      <c r="BB259" s="53"/>
      <c r="BC259" s="111">
        <f t="shared" si="44"/>
        <v>105894.41401971523</v>
      </c>
      <c r="BD259" s="111">
        <f t="shared" si="45"/>
        <v>158841.62102957282</v>
      </c>
    </row>
    <row r="260" spans="1:56" ht="21" customHeight="1" x14ac:dyDescent="0.25">
      <c r="A260" s="53">
        <v>250</v>
      </c>
      <c r="B260" s="53"/>
      <c r="C260" s="53"/>
      <c r="D260" s="53" t="s">
        <v>135</v>
      </c>
      <c r="E260" s="53"/>
      <c r="F260" s="53"/>
      <c r="G260" s="53" t="s">
        <v>290</v>
      </c>
      <c r="H260" s="53" t="s">
        <v>291</v>
      </c>
      <c r="I260" s="85" t="s">
        <v>422</v>
      </c>
      <c r="J260" s="85" t="s">
        <v>667</v>
      </c>
      <c r="K260" s="85" t="s">
        <v>530</v>
      </c>
      <c r="L260" s="53" t="s">
        <v>216</v>
      </c>
      <c r="M260" s="53" t="s">
        <v>295</v>
      </c>
      <c r="N260" s="53"/>
      <c r="O260" s="85" t="s">
        <v>692</v>
      </c>
      <c r="P260" s="53">
        <v>1</v>
      </c>
      <c r="Q260" s="183">
        <v>7.5</v>
      </c>
      <c r="R260" s="84">
        <v>0.87050000000000005</v>
      </c>
      <c r="S260" s="53"/>
      <c r="T260" s="53"/>
      <c r="U260" s="53">
        <v>3</v>
      </c>
      <c r="V260" s="53">
        <v>480</v>
      </c>
      <c r="X260" s="53"/>
      <c r="Y260" s="53"/>
      <c r="Z260" s="53"/>
      <c r="AA260" s="53"/>
      <c r="AB260" s="53"/>
      <c r="AC260" s="137" t="s">
        <v>124</v>
      </c>
      <c r="AD260" s="138" t="s">
        <v>118</v>
      </c>
      <c r="AE260" s="83">
        <v>8760</v>
      </c>
      <c r="AF260" s="139">
        <v>1</v>
      </c>
      <c r="AG260" s="139">
        <f t="shared" si="47"/>
        <v>0.82191780821917804</v>
      </c>
      <c r="AH260" s="139">
        <v>0.6</v>
      </c>
      <c r="AI260" s="139">
        <v>0.6</v>
      </c>
      <c r="AJ260" s="83">
        <f t="shared" si="36"/>
        <v>2880</v>
      </c>
      <c r="AK260" s="83">
        <f t="shared" si="37"/>
        <v>4320</v>
      </c>
      <c r="AL260" s="104">
        <f t="shared" si="38"/>
        <v>3.8564043653072941</v>
      </c>
      <c r="AM260" s="104">
        <f t="shared" si="39"/>
        <v>3.8564043653072941</v>
      </c>
      <c r="AN260" s="83">
        <f t="shared" si="40"/>
        <v>11106.444572085007</v>
      </c>
      <c r="AO260" s="83">
        <f t="shared" si="41"/>
        <v>16659.666858127512</v>
      </c>
      <c r="AP260" s="182">
        <f t="shared" si="42"/>
        <v>37.896743782194136</v>
      </c>
      <c r="AQ260" s="182">
        <f t="shared" si="43"/>
        <v>56.845115673291204</v>
      </c>
      <c r="AR260" s="85"/>
      <c r="AS260" s="85"/>
      <c r="AT260" s="53"/>
      <c r="AU260" s="53"/>
      <c r="AV260" s="53"/>
      <c r="AW260" s="53"/>
      <c r="AX260" s="53"/>
      <c r="AY260" s="53"/>
      <c r="AZ260" s="53"/>
      <c r="BA260" s="53"/>
      <c r="BB260" s="53"/>
      <c r="BC260" s="111">
        <f t="shared" si="44"/>
        <v>11106.444572085007</v>
      </c>
      <c r="BD260" s="111">
        <f t="shared" si="45"/>
        <v>16659.666858127512</v>
      </c>
    </row>
    <row r="261" spans="1:56" ht="21" customHeight="1" x14ac:dyDescent="0.25">
      <c r="A261" s="53">
        <v>251</v>
      </c>
      <c r="B261" s="53"/>
      <c r="C261" s="53"/>
      <c r="D261" s="53" t="s">
        <v>135</v>
      </c>
      <c r="E261" s="53"/>
      <c r="F261" s="53"/>
      <c r="G261" s="53" t="s">
        <v>290</v>
      </c>
      <c r="H261" s="53" t="s">
        <v>291</v>
      </c>
      <c r="I261" s="85" t="s">
        <v>422</v>
      </c>
      <c r="J261" s="85" t="s">
        <v>667</v>
      </c>
      <c r="K261" s="85" t="s">
        <v>655</v>
      </c>
      <c r="L261" s="53" t="s">
        <v>216</v>
      </c>
      <c r="M261" s="53" t="s">
        <v>295</v>
      </c>
      <c r="N261" s="53"/>
      <c r="O261" s="85" t="s">
        <v>668</v>
      </c>
      <c r="P261" s="53">
        <v>1</v>
      </c>
      <c r="Q261" s="183">
        <v>7.5</v>
      </c>
      <c r="R261" s="84">
        <v>0.87050000000000005</v>
      </c>
      <c r="S261" s="53"/>
      <c r="T261" s="53"/>
      <c r="U261" s="53">
        <v>3</v>
      </c>
      <c r="V261" s="53">
        <v>480</v>
      </c>
      <c r="X261" s="53"/>
      <c r="Y261" s="53"/>
      <c r="Z261" s="53"/>
      <c r="AA261" s="53"/>
      <c r="AB261" s="53"/>
      <c r="AC261" s="137" t="s">
        <v>124</v>
      </c>
      <c r="AD261" s="138" t="s">
        <v>118</v>
      </c>
      <c r="AE261" s="83">
        <v>8760</v>
      </c>
      <c r="AF261" s="139">
        <v>1</v>
      </c>
      <c r="AG261" s="139">
        <f t="shared" si="47"/>
        <v>0.82191780821917804</v>
      </c>
      <c r="AH261" s="139">
        <v>0.75</v>
      </c>
      <c r="AI261" s="139">
        <v>0.75</v>
      </c>
      <c r="AJ261" s="83">
        <f t="shared" si="36"/>
        <v>2880</v>
      </c>
      <c r="AK261" s="83">
        <f t="shared" si="37"/>
        <v>4320</v>
      </c>
      <c r="AL261" s="104">
        <f t="shared" si="38"/>
        <v>4.8205054566341179</v>
      </c>
      <c r="AM261" s="104">
        <f t="shared" si="39"/>
        <v>4.8205054566341179</v>
      </c>
      <c r="AN261" s="83">
        <f t="shared" si="40"/>
        <v>13883.05571510626</v>
      </c>
      <c r="AO261" s="83">
        <f t="shared" si="41"/>
        <v>20824.58357265939</v>
      </c>
      <c r="AP261" s="182">
        <f t="shared" si="42"/>
        <v>47.37092972774267</v>
      </c>
      <c r="AQ261" s="182">
        <f t="shared" si="43"/>
        <v>71.056394591614009</v>
      </c>
      <c r="AR261" s="85"/>
      <c r="AS261" s="85"/>
      <c r="AT261" s="53"/>
      <c r="AU261" s="53"/>
      <c r="AV261" s="53"/>
      <c r="AW261" s="53"/>
      <c r="AX261" s="53"/>
      <c r="AY261" s="53"/>
      <c r="AZ261" s="53"/>
      <c r="BA261" s="53"/>
      <c r="BB261" s="53"/>
      <c r="BC261" s="111">
        <f t="shared" si="44"/>
        <v>13883.05571510626</v>
      </c>
      <c r="BD261" s="111">
        <f t="shared" si="45"/>
        <v>20824.58357265939</v>
      </c>
    </row>
    <row r="262" spans="1:56" ht="21" customHeight="1" x14ac:dyDescent="0.25">
      <c r="A262" s="53">
        <v>252</v>
      </c>
      <c r="B262" s="53"/>
      <c r="C262" s="53"/>
      <c r="D262" s="53" t="s">
        <v>135</v>
      </c>
      <c r="E262" s="53"/>
      <c r="F262" s="53"/>
      <c r="G262" s="53" t="s">
        <v>290</v>
      </c>
      <c r="H262" s="53" t="s">
        <v>291</v>
      </c>
      <c r="I262" s="85" t="s">
        <v>317</v>
      </c>
      <c r="J262" s="85" t="s">
        <v>318</v>
      </c>
      <c r="K262" s="85" t="s">
        <v>294</v>
      </c>
      <c r="L262" s="53" t="s">
        <v>216</v>
      </c>
      <c r="M262" s="53" t="s">
        <v>295</v>
      </c>
      <c r="N262" s="53"/>
      <c r="O262" s="85" t="s">
        <v>135</v>
      </c>
      <c r="P262" s="53">
        <v>1</v>
      </c>
      <c r="Q262" s="183">
        <v>75</v>
      </c>
      <c r="R262" s="84">
        <v>0.91149999999999998</v>
      </c>
      <c r="S262" s="53"/>
      <c r="T262" s="53"/>
      <c r="U262" s="53">
        <v>3</v>
      </c>
      <c r="V262" s="53">
        <v>480</v>
      </c>
      <c r="X262" s="53"/>
      <c r="Y262" s="53"/>
      <c r="Z262" s="53"/>
      <c r="AA262" s="53"/>
      <c r="AB262" s="53"/>
      <c r="AC262" s="137" t="s">
        <v>124</v>
      </c>
      <c r="AD262" s="138" t="s">
        <v>118</v>
      </c>
      <c r="AE262" s="83">
        <v>8760</v>
      </c>
      <c r="AF262" s="139">
        <v>1</v>
      </c>
      <c r="AG262" s="139">
        <f t="shared" si="47"/>
        <v>0.82191780821917804</v>
      </c>
      <c r="AH262" s="139">
        <v>0.75</v>
      </c>
      <c r="AI262" s="139">
        <v>0.75</v>
      </c>
      <c r="AJ262" s="83">
        <f t="shared" si="36"/>
        <v>2880</v>
      </c>
      <c r="AK262" s="83">
        <f t="shared" si="37"/>
        <v>4320</v>
      </c>
      <c r="AL262" s="104">
        <f t="shared" si="38"/>
        <v>46.036752605595176</v>
      </c>
      <c r="AM262" s="104">
        <f t="shared" si="39"/>
        <v>46.036752605595176</v>
      </c>
      <c r="AN262" s="83">
        <f t="shared" si="40"/>
        <v>132585.84750411409</v>
      </c>
      <c r="AO262" s="83">
        <f t="shared" si="41"/>
        <v>198878.77125617117</v>
      </c>
      <c r="AP262" s="182">
        <f t="shared" si="42"/>
        <v>452.40147370268784</v>
      </c>
      <c r="AQ262" s="182">
        <f t="shared" si="43"/>
        <v>678.6022105540319</v>
      </c>
      <c r="AR262" s="85"/>
      <c r="AS262" s="85"/>
      <c r="AT262" s="53"/>
      <c r="AU262" s="53"/>
      <c r="AV262" s="53"/>
      <c r="AW262" s="53"/>
      <c r="AX262" s="53"/>
      <c r="AY262" s="53"/>
      <c r="AZ262" s="53"/>
      <c r="BA262" s="53"/>
      <c r="BB262" s="53"/>
      <c r="BC262" s="111">
        <f t="shared" si="44"/>
        <v>132585.84750411409</v>
      </c>
      <c r="BD262" s="111">
        <f t="shared" si="45"/>
        <v>198878.77125617117</v>
      </c>
    </row>
    <row r="263" spans="1:56" ht="21" customHeight="1" x14ac:dyDescent="0.25">
      <c r="A263" s="53">
        <v>253</v>
      </c>
      <c r="B263" s="53"/>
      <c r="C263" s="53"/>
      <c r="D263" s="53" t="s">
        <v>135</v>
      </c>
      <c r="E263" s="53"/>
      <c r="F263" s="53"/>
      <c r="G263" s="53" t="s">
        <v>290</v>
      </c>
      <c r="H263" s="53" t="s">
        <v>291</v>
      </c>
      <c r="I263" s="85" t="s">
        <v>422</v>
      </c>
      <c r="J263" s="85" t="s">
        <v>423</v>
      </c>
      <c r="K263" s="85" t="s">
        <v>365</v>
      </c>
      <c r="L263" s="53" t="s">
        <v>216</v>
      </c>
      <c r="M263" s="53" t="s">
        <v>295</v>
      </c>
      <c r="N263" s="53"/>
      <c r="O263" s="85" t="s">
        <v>424</v>
      </c>
      <c r="P263" s="53">
        <v>1</v>
      </c>
      <c r="Q263" s="183">
        <v>40</v>
      </c>
      <c r="R263" s="84">
        <v>0.89250000000000007</v>
      </c>
      <c r="S263" s="53"/>
      <c r="T263" s="53"/>
      <c r="U263" s="53">
        <v>3</v>
      </c>
      <c r="V263" s="53">
        <v>480</v>
      </c>
      <c r="X263" s="53"/>
      <c r="Y263" s="53"/>
      <c r="Z263" s="53"/>
      <c r="AA263" s="53"/>
      <c r="AB263" s="53"/>
      <c r="AC263" s="137" t="s">
        <v>124</v>
      </c>
      <c r="AD263" s="138" t="s">
        <v>118</v>
      </c>
      <c r="AE263" s="83">
        <v>8760</v>
      </c>
      <c r="AF263" s="139">
        <v>1</v>
      </c>
      <c r="AG263" s="139">
        <f t="shared" si="47"/>
        <v>0.82191780821917804</v>
      </c>
      <c r="AH263" s="139">
        <v>0.6</v>
      </c>
      <c r="AI263" s="139">
        <v>0.6</v>
      </c>
      <c r="AJ263" s="83">
        <f t="shared" si="36"/>
        <v>2880</v>
      </c>
      <c r="AK263" s="83">
        <f t="shared" si="37"/>
        <v>4320</v>
      </c>
      <c r="AL263" s="104">
        <f t="shared" si="38"/>
        <v>20.060504201680669</v>
      </c>
      <c r="AM263" s="104">
        <f t="shared" si="39"/>
        <v>20.060504201680669</v>
      </c>
      <c r="AN263" s="83">
        <f t="shared" si="40"/>
        <v>57774.252100840327</v>
      </c>
      <c r="AO263" s="83">
        <f t="shared" si="41"/>
        <v>86661.378151260491</v>
      </c>
      <c r="AP263" s="182">
        <f t="shared" si="42"/>
        <v>197.13383656336131</v>
      </c>
      <c r="AQ263" s="182">
        <f t="shared" si="43"/>
        <v>295.70075484504201</v>
      </c>
      <c r="AR263" s="85"/>
      <c r="AS263" s="85"/>
      <c r="AT263" s="53"/>
      <c r="AU263" s="53"/>
      <c r="AV263" s="53"/>
      <c r="AW263" s="53"/>
      <c r="AX263" s="53"/>
      <c r="AY263" s="53"/>
      <c r="AZ263" s="53"/>
      <c r="BA263" s="53"/>
      <c r="BB263" s="53"/>
      <c r="BC263" s="111">
        <f t="shared" si="44"/>
        <v>57774.252100840327</v>
      </c>
      <c r="BD263" s="111">
        <f t="shared" si="45"/>
        <v>86661.378151260491</v>
      </c>
    </row>
    <row r="264" spans="1:56" ht="21" customHeight="1" x14ac:dyDescent="0.25">
      <c r="A264" s="53">
        <v>254</v>
      </c>
      <c r="B264" s="53"/>
      <c r="C264" s="53"/>
      <c r="D264" s="53" t="s">
        <v>135</v>
      </c>
      <c r="E264" s="53"/>
      <c r="F264" s="53"/>
      <c r="G264" s="53" t="s">
        <v>290</v>
      </c>
      <c r="H264" s="53" t="s">
        <v>291</v>
      </c>
      <c r="I264" s="85" t="s">
        <v>422</v>
      </c>
      <c r="J264" s="85" t="s">
        <v>423</v>
      </c>
      <c r="K264" s="85" t="s">
        <v>365</v>
      </c>
      <c r="L264" s="53" t="s">
        <v>216</v>
      </c>
      <c r="M264" s="53" t="s">
        <v>295</v>
      </c>
      <c r="N264" s="53"/>
      <c r="O264" s="85" t="s">
        <v>425</v>
      </c>
      <c r="P264" s="53">
        <v>1</v>
      </c>
      <c r="Q264" s="183">
        <v>40</v>
      </c>
      <c r="R264" s="84">
        <v>0.89250000000000007</v>
      </c>
      <c r="S264" s="53"/>
      <c r="T264" s="53"/>
      <c r="U264" s="53">
        <v>3</v>
      </c>
      <c r="V264" s="53">
        <v>480</v>
      </c>
      <c r="W264" s="53"/>
      <c r="X264" s="53"/>
      <c r="Y264" s="53"/>
      <c r="Z264" s="53"/>
      <c r="AA264" s="53"/>
      <c r="AB264" s="53"/>
      <c r="AC264" s="137" t="s">
        <v>124</v>
      </c>
      <c r="AD264" s="138" t="s">
        <v>118</v>
      </c>
      <c r="AE264" s="83">
        <v>8760</v>
      </c>
      <c r="AF264" s="139">
        <v>1</v>
      </c>
      <c r="AG264" s="139">
        <f t="shared" si="47"/>
        <v>0.82191780821917804</v>
      </c>
      <c r="AH264" s="139">
        <v>0.6</v>
      </c>
      <c r="AI264" s="139">
        <v>0.6</v>
      </c>
      <c r="AJ264" s="83">
        <f t="shared" si="36"/>
        <v>2880</v>
      </c>
      <c r="AK264" s="83">
        <f t="shared" si="37"/>
        <v>4320</v>
      </c>
      <c r="AL264" s="104">
        <f t="shared" si="38"/>
        <v>20.060504201680669</v>
      </c>
      <c r="AM264" s="104">
        <f t="shared" si="39"/>
        <v>20.060504201680669</v>
      </c>
      <c r="AN264" s="83">
        <f t="shared" si="40"/>
        <v>57774.252100840327</v>
      </c>
      <c r="AO264" s="83">
        <f t="shared" si="41"/>
        <v>86661.378151260491</v>
      </c>
      <c r="AP264" s="182">
        <f t="shared" si="42"/>
        <v>197.13383656336131</v>
      </c>
      <c r="AQ264" s="182">
        <f t="shared" si="43"/>
        <v>295.70075484504201</v>
      </c>
      <c r="AR264" s="85"/>
      <c r="AS264" s="85"/>
      <c r="AT264" s="53"/>
      <c r="AU264" s="53"/>
      <c r="AV264" s="53"/>
      <c r="AW264" s="53"/>
      <c r="AX264" s="53"/>
      <c r="AY264" s="53"/>
      <c r="AZ264" s="53"/>
      <c r="BA264" s="53"/>
      <c r="BB264" s="53"/>
      <c r="BC264" s="111">
        <f t="shared" si="44"/>
        <v>57774.252100840327</v>
      </c>
      <c r="BD264" s="111">
        <f t="shared" si="45"/>
        <v>86661.378151260491</v>
      </c>
    </row>
    <row r="265" spans="1:56" ht="15.75" x14ac:dyDescent="0.25">
      <c r="A265" s="53">
        <v>255</v>
      </c>
      <c r="B265" s="53"/>
      <c r="C265" s="53"/>
      <c r="D265" s="53" t="s">
        <v>135</v>
      </c>
      <c r="E265" s="53"/>
      <c r="F265" s="53"/>
      <c r="G265" s="53" t="s">
        <v>290</v>
      </c>
      <c r="H265" s="53" t="s">
        <v>291</v>
      </c>
      <c r="I265" s="85" t="s">
        <v>422</v>
      </c>
      <c r="J265" s="85" t="s">
        <v>423</v>
      </c>
      <c r="K265" s="85" t="s">
        <v>365</v>
      </c>
      <c r="L265" s="53" t="s">
        <v>216</v>
      </c>
      <c r="M265" s="53" t="s">
        <v>295</v>
      </c>
      <c r="N265" s="53"/>
      <c r="O265" s="85" t="s">
        <v>426</v>
      </c>
      <c r="P265" s="53">
        <v>1</v>
      </c>
      <c r="Q265" s="183">
        <v>40</v>
      </c>
      <c r="R265" s="84">
        <v>0.89250000000000007</v>
      </c>
      <c r="S265" s="53"/>
      <c r="T265" s="53"/>
      <c r="U265" s="53">
        <v>3</v>
      </c>
      <c r="V265" s="53">
        <v>480</v>
      </c>
      <c r="X265" s="53"/>
      <c r="Y265" s="53"/>
      <c r="Z265" s="53"/>
      <c r="AA265" s="53"/>
      <c r="AB265" s="53"/>
      <c r="AC265" s="137" t="s">
        <v>124</v>
      </c>
      <c r="AD265" s="138" t="s">
        <v>118</v>
      </c>
      <c r="AE265" s="83">
        <v>8760</v>
      </c>
      <c r="AF265" s="139">
        <v>1</v>
      </c>
      <c r="AG265" s="139">
        <f t="shared" si="47"/>
        <v>0.82191780821917804</v>
      </c>
      <c r="AH265" s="139">
        <v>0.6</v>
      </c>
      <c r="AI265" s="139">
        <v>0.6</v>
      </c>
      <c r="AJ265" s="83">
        <f t="shared" si="36"/>
        <v>2880</v>
      </c>
      <c r="AK265" s="83">
        <f t="shared" si="37"/>
        <v>4320</v>
      </c>
      <c r="AL265" s="104">
        <f t="shared" si="38"/>
        <v>20.060504201680669</v>
      </c>
      <c r="AM265" s="104">
        <f t="shared" si="39"/>
        <v>20.060504201680669</v>
      </c>
      <c r="AN265" s="83">
        <f t="shared" si="40"/>
        <v>57774.252100840327</v>
      </c>
      <c r="AO265" s="83">
        <f t="shared" si="41"/>
        <v>86661.378151260491</v>
      </c>
      <c r="AP265" s="182">
        <f t="shared" si="42"/>
        <v>197.13383656336131</v>
      </c>
      <c r="AQ265" s="182">
        <f t="shared" si="43"/>
        <v>295.70075484504201</v>
      </c>
      <c r="AR265" s="85"/>
      <c r="AS265" s="85"/>
      <c r="AT265" s="53"/>
      <c r="AU265" s="53"/>
      <c r="AV265" s="53"/>
      <c r="AW265" s="53"/>
      <c r="AX265" s="53"/>
      <c r="AY265" s="53"/>
      <c r="AZ265" s="53"/>
      <c r="BA265" s="53"/>
      <c r="BB265" s="53"/>
      <c r="BC265" s="111">
        <f t="shared" si="44"/>
        <v>57774.252100840327</v>
      </c>
      <c r="BD265" s="111">
        <f t="shared" si="45"/>
        <v>86661.378151260491</v>
      </c>
    </row>
    <row r="266" spans="1:56" ht="15.75" x14ac:dyDescent="0.25">
      <c r="A266" s="53">
        <v>256</v>
      </c>
      <c r="B266" s="53"/>
      <c r="C266" s="53"/>
      <c r="D266" s="53" t="s">
        <v>135</v>
      </c>
      <c r="E266" s="53"/>
      <c r="F266" s="53"/>
      <c r="G266" s="53" t="s">
        <v>290</v>
      </c>
      <c r="H266" s="53" t="s">
        <v>291</v>
      </c>
      <c r="I266" s="85" t="s">
        <v>422</v>
      </c>
      <c r="J266" s="85" t="s">
        <v>423</v>
      </c>
      <c r="K266" s="85" t="s">
        <v>365</v>
      </c>
      <c r="L266" s="53" t="s">
        <v>216</v>
      </c>
      <c r="M266" s="53" t="s">
        <v>295</v>
      </c>
      <c r="N266" s="53"/>
      <c r="O266" s="85" t="s">
        <v>427</v>
      </c>
      <c r="P266" s="53">
        <v>1</v>
      </c>
      <c r="Q266" s="183">
        <v>40</v>
      </c>
      <c r="R266" s="84">
        <v>0.89250000000000007</v>
      </c>
      <c r="S266" s="53"/>
      <c r="T266" s="53"/>
      <c r="U266" s="53">
        <v>3</v>
      </c>
      <c r="V266" s="53">
        <v>480</v>
      </c>
      <c r="X266" s="53"/>
      <c r="Y266" s="53"/>
      <c r="Z266" s="53"/>
      <c r="AA266" s="53"/>
      <c r="AB266" s="53"/>
      <c r="AC266" s="137" t="s">
        <v>124</v>
      </c>
      <c r="AD266" s="138" t="s">
        <v>118</v>
      </c>
      <c r="AE266" s="83">
        <v>8760</v>
      </c>
      <c r="AF266" s="139">
        <v>1</v>
      </c>
      <c r="AG266" s="139">
        <f t="shared" si="47"/>
        <v>0.82191780821917804</v>
      </c>
      <c r="AH266" s="139">
        <v>0.6</v>
      </c>
      <c r="AI266" s="139">
        <v>0.6</v>
      </c>
      <c r="AJ266" s="83">
        <f t="shared" si="36"/>
        <v>2880</v>
      </c>
      <c r="AK266" s="83">
        <f t="shared" si="37"/>
        <v>4320</v>
      </c>
      <c r="AL266" s="104">
        <f t="shared" si="38"/>
        <v>20.060504201680669</v>
      </c>
      <c r="AM266" s="104">
        <f t="shared" si="39"/>
        <v>20.060504201680669</v>
      </c>
      <c r="AN266" s="83">
        <f t="shared" si="40"/>
        <v>57774.252100840327</v>
      </c>
      <c r="AO266" s="83">
        <f t="shared" si="41"/>
        <v>86661.378151260491</v>
      </c>
      <c r="AP266" s="182">
        <f t="shared" si="42"/>
        <v>197.13383656336131</v>
      </c>
      <c r="AQ266" s="182">
        <f t="shared" si="43"/>
        <v>295.70075484504201</v>
      </c>
      <c r="AR266" s="85"/>
      <c r="AS266" s="85"/>
      <c r="AT266" s="53"/>
      <c r="AU266" s="53"/>
      <c r="AV266" s="53"/>
      <c r="AW266" s="53"/>
      <c r="AX266" s="53"/>
      <c r="AY266" s="53"/>
      <c r="AZ266" s="53"/>
      <c r="BA266" s="53"/>
      <c r="BB266" s="53"/>
      <c r="BC266" s="111">
        <f t="shared" si="44"/>
        <v>57774.252100840327</v>
      </c>
      <c r="BD266" s="111">
        <f t="shared" si="45"/>
        <v>86661.378151260491</v>
      </c>
    </row>
    <row r="267" spans="1:56" ht="15.75" x14ac:dyDescent="0.25">
      <c r="A267" s="53">
        <v>257</v>
      </c>
      <c r="B267" s="53"/>
      <c r="C267" s="53"/>
      <c r="D267" s="53" t="s">
        <v>135</v>
      </c>
      <c r="E267" s="53"/>
      <c r="F267" s="53"/>
      <c r="G267" s="53" t="s">
        <v>290</v>
      </c>
      <c r="H267" s="53" t="s">
        <v>291</v>
      </c>
      <c r="I267" s="85" t="s">
        <v>726</v>
      </c>
      <c r="J267" s="85" t="s">
        <v>728</v>
      </c>
      <c r="K267" s="85" t="s">
        <v>721</v>
      </c>
      <c r="L267" s="53" t="s">
        <v>722</v>
      </c>
      <c r="M267" s="53" t="s">
        <v>723</v>
      </c>
      <c r="N267" s="53"/>
      <c r="O267" s="85" t="s">
        <v>724</v>
      </c>
      <c r="P267" s="53">
        <v>1</v>
      </c>
      <c r="Q267" s="183">
        <v>0</v>
      </c>
      <c r="R267" s="84"/>
      <c r="S267" s="53">
        <v>16.7</v>
      </c>
      <c r="T267" s="53"/>
      <c r="U267" s="163">
        <v>3</v>
      </c>
      <c r="V267" s="163">
        <v>480</v>
      </c>
      <c r="X267" s="53"/>
      <c r="Y267" s="53"/>
      <c r="Z267" s="53"/>
      <c r="AA267" s="53"/>
      <c r="AB267" s="53"/>
      <c r="AC267" s="137" t="s">
        <v>117</v>
      </c>
      <c r="AD267" s="138" t="s">
        <v>118</v>
      </c>
      <c r="AE267" s="83">
        <v>8760</v>
      </c>
      <c r="AF267" s="139">
        <v>1</v>
      </c>
      <c r="AG267" s="139">
        <f t="shared" si="47"/>
        <v>0.82191780821917804</v>
      </c>
      <c r="AH267" s="139">
        <v>0.25</v>
      </c>
      <c r="AI267" s="139">
        <v>0.25</v>
      </c>
      <c r="AJ267" s="83">
        <f t="shared" ref="AJ267:AJ330" si="48">$AE267*AG267*$AA$3</f>
        <v>2880</v>
      </c>
      <c r="AK267" s="83">
        <f t="shared" ref="AK267:AK330" si="49">$AE267*AG267*$AA$4</f>
        <v>4320</v>
      </c>
      <c r="AL267" s="104">
        <f t="shared" ref="AL267:AL330" si="50">IF($Q267&gt;0,((($P267*$Q267*$AP$2/$R267)*$AH267)),IF($U267=1,($AV267*$AF267*$AH267),((1.732*($V267/1000)*$S267*$AP$3*$AF267*$AH267*$P267))))</f>
        <v>3.1238351999999998</v>
      </c>
      <c r="AM267" s="104">
        <f t="shared" ref="AM267:AM330" si="51">IF($Q267&gt;0,((($P267*$Q267*$AP$2/$R267)*$AI267)),IF($U267=1,($AV267*$AF267*$AI267),((1.732*($V267/1000)*$S267*$AP$3*$AF267*$AI267*$P267))))</f>
        <v>3.1238351999999998</v>
      </c>
      <c r="AN267" s="83">
        <f t="shared" ref="AN267:AN330" si="52">AL267*AJ267</f>
        <v>8996.6453759999986</v>
      </c>
      <c r="AO267" s="83">
        <f t="shared" ref="AO267:AO330" si="53">AM267*AK267</f>
        <v>13494.968063999999</v>
      </c>
      <c r="AP267" s="182">
        <f t="shared" ref="AP267:AP330" si="54">AN267*$AP$7/1000000</f>
        <v>30.697813553264634</v>
      </c>
      <c r="AQ267" s="182">
        <f t="shared" ref="AQ267:AQ330" si="55">AO267*$AQ$7/1000000</f>
        <v>46.046720329896957</v>
      </c>
      <c r="AR267" s="85"/>
      <c r="AS267" s="85"/>
      <c r="AT267" s="53"/>
      <c r="AU267" s="53"/>
      <c r="AV267" s="53"/>
      <c r="AW267" s="53"/>
      <c r="AX267" s="53"/>
      <c r="AY267" s="53"/>
      <c r="AZ267" s="53"/>
      <c r="BA267" s="53"/>
      <c r="BB267" s="53"/>
      <c r="BC267" s="111">
        <f t="shared" ref="BC267:BC330" si="56">AN267</f>
        <v>8996.6453759999986</v>
      </c>
      <c r="BD267" s="111">
        <f t="shared" ref="BD267:BD330" si="57">AO267</f>
        <v>13494.968063999999</v>
      </c>
    </row>
    <row r="268" spans="1:56" ht="15.75" x14ac:dyDescent="0.25">
      <c r="A268" s="53">
        <v>258</v>
      </c>
      <c r="B268" s="53"/>
      <c r="C268" s="53"/>
      <c r="D268" s="53" t="s">
        <v>135</v>
      </c>
      <c r="E268" s="53"/>
      <c r="F268" s="53"/>
      <c r="G268" s="53" t="s">
        <v>290</v>
      </c>
      <c r="H268" s="53" t="s">
        <v>291</v>
      </c>
      <c r="I268" s="85" t="s">
        <v>544</v>
      </c>
      <c r="J268" s="85" t="s">
        <v>533</v>
      </c>
      <c r="K268" s="85" t="s">
        <v>448</v>
      </c>
      <c r="L268" s="53" t="s">
        <v>216</v>
      </c>
      <c r="M268" s="53" t="s">
        <v>252</v>
      </c>
      <c r="N268" s="53"/>
      <c r="O268" s="85" t="s">
        <v>135</v>
      </c>
      <c r="P268" s="53">
        <v>1</v>
      </c>
      <c r="Q268" s="183">
        <v>20</v>
      </c>
      <c r="R268" s="84">
        <v>0.89700000000000002</v>
      </c>
      <c r="S268" s="53"/>
      <c r="T268" s="53"/>
      <c r="U268" s="53">
        <v>3</v>
      </c>
      <c r="V268" s="53">
        <v>480</v>
      </c>
      <c r="X268" s="53"/>
      <c r="Y268" s="53"/>
      <c r="Z268" s="53"/>
      <c r="AA268" s="53"/>
      <c r="AB268" s="53"/>
      <c r="AC268" s="137" t="s">
        <v>124</v>
      </c>
      <c r="AD268" s="138" t="s">
        <v>118</v>
      </c>
      <c r="AE268" s="83">
        <v>8760</v>
      </c>
      <c r="AF268" s="139">
        <v>1</v>
      </c>
      <c r="AG268" s="139">
        <f t="shared" si="47"/>
        <v>0.82191780821917804</v>
      </c>
      <c r="AH268" s="139">
        <v>0.6</v>
      </c>
      <c r="AI268" s="139">
        <v>0.6</v>
      </c>
      <c r="AJ268" s="83">
        <f t="shared" si="48"/>
        <v>2880</v>
      </c>
      <c r="AK268" s="83">
        <f t="shared" si="49"/>
        <v>4320</v>
      </c>
      <c r="AL268" s="104">
        <f t="shared" si="50"/>
        <v>9.9799331103678917</v>
      </c>
      <c r="AM268" s="104">
        <f t="shared" si="51"/>
        <v>9.9799331103678917</v>
      </c>
      <c r="AN268" s="83">
        <f t="shared" si="52"/>
        <v>28742.207357859526</v>
      </c>
      <c r="AO268" s="83">
        <f t="shared" si="53"/>
        <v>43113.311036789295</v>
      </c>
      <c r="AP268" s="182">
        <f t="shared" si="54"/>
        <v>98.072435414046794</v>
      </c>
      <c r="AQ268" s="182">
        <f t="shared" si="55"/>
        <v>147.1086531210702</v>
      </c>
      <c r="AR268" s="85"/>
      <c r="AS268" s="85"/>
      <c r="AT268" s="53"/>
      <c r="AU268" s="53"/>
      <c r="AV268" s="53"/>
      <c r="AW268" s="53"/>
      <c r="AX268" s="53"/>
      <c r="AY268" s="53"/>
      <c r="AZ268" s="53"/>
      <c r="BA268" s="53"/>
      <c r="BB268" s="53"/>
      <c r="BC268" s="111">
        <f t="shared" si="56"/>
        <v>28742.207357859526</v>
      </c>
      <c r="BD268" s="111">
        <f t="shared" si="57"/>
        <v>43113.311036789295</v>
      </c>
    </row>
    <row r="269" spans="1:56" ht="15.75" x14ac:dyDescent="0.25">
      <c r="A269" s="53">
        <v>259</v>
      </c>
      <c r="B269" s="53"/>
      <c r="C269" s="53"/>
      <c r="D269" s="53" t="s">
        <v>135</v>
      </c>
      <c r="E269" s="53"/>
      <c r="F269" s="53"/>
      <c r="G269" s="53" t="s">
        <v>290</v>
      </c>
      <c r="H269" s="53" t="s">
        <v>291</v>
      </c>
      <c r="I269" s="85" t="s">
        <v>544</v>
      </c>
      <c r="J269" s="85" t="s">
        <v>535</v>
      </c>
      <c r="K269" s="85" t="s">
        <v>448</v>
      </c>
      <c r="L269" s="53" t="s">
        <v>216</v>
      </c>
      <c r="M269" s="53" t="s">
        <v>252</v>
      </c>
      <c r="N269" s="53"/>
      <c r="O269" s="85" t="s">
        <v>135</v>
      </c>
      <c r="P269" s="53">
        <v>1</v>
      </c>
      <c r="Q269" s="183">
        <v>20</v>
      </c>
      <c r="R269" s="84">
        <v>0.89700000000000002</v>
      </c>
      <c r="S269" s="53"/>
      <c r="T269" s="53"/>
      <c r="U269" s="53">
        <v>3</v>
      </c>
      <c r="V269" s="53">
        <v>480</v>
      </c>
      <c r="X269" s="53"/>
      <c r="Y269" s="53"/>
      <c r="Z269" s="53"/>
      <c r="AA269" s="53"/>
      <c r="AB269" s="53"/>
      <c r="AC269" s="137" t="s">
        <v>124</v>
      </c>
      <c r="AD269" s="138" t="s">
        <v>118</v>
      </c>
      <c r="AE269" s="83">
        <v>8760</v>
      </c>
      <c r="AF269" s="139">
        <v>1</v>
      </c>
      <c r="AG269" s="139">
        <f t="shared" si="47"/>
        <v>0.82191780821917804</v>
      </c>
      <c r="AH269" s="139">
        <v>0.6</v>
      </c>
      <c r="AI269" s="139">
        <v>0.6</v>
      </c>
      <c r="AJ269" s="83">
        <f t="shared" si="48"/>
        <v>2880</v>
      </c>
      <c r="AK269" s="83">
        <f t="shared" si="49"/>
        <v>4320</v>
      </c>
      <c r="AL269" s="104">
        <f t="shared" si="50"/>
        <v>9.9799331103678917</v>
      </c>
      <c r="AM269" s="104">
        <f t="shared" si="51"/>
        <v>9.9799331103678917</v>
      </c>
      <c r="AN269" s="83">
        <f t="shared" si="52"/>
        <v>28742.207357859526</v>
      </c>
      <c r="AO269" s="83">
        <f t="shared" si="53"/>
        <v>43113.311036789295</v>
      </c>
      <c r="AP269" s="182">
        <f t="shared" si="54"/>
        <v>98.072435414046794</v>
      </c>
      <c r="AQ269" s="182">
        <f t="shared" si="55"/>
        <v>147.1086531210702</v>
      </c>
      <c r="AR269" s="85"/>
      <c r="AS269" s="85"/>
      <c r="AT269" s="53"/>
      <c r="AU269" s="53"/>
      <c r="AV269" s="53"/>
      <c r="AW269" s="53"/>
      <c r="AX269" s="53"/>
      <c r="AY269" s="53"/>
      <c r="AZ269" s="53"/>
      <c r="BA269" s="53"/>
      <c r="BB269" s="53"/>
      <c r="BC269" s="111">
        <f t="shared" si="56"/>
        <v>28742.207357859526</v>
      </c>
      <c r="BD269" s="111">
        <f t="shared" si="57"/>
        <v>43113.311036789295</v>
      </c>
    </row>
    <row r="270" spans="1:56" ht="15.75" x14ac:dyDescent="0.25">
      <c r="A270" s="53">
        <v>260</v>
      </c>
      <c r="B270" s="53"/>
      <c r="C270" s="53"/>
      <c r="D270" s="53" t="s">
        <v>135</v>
      </c>
      <c r="E270" s="53"/>
      <c r="F270" s="53"/>
      <c r="G270" s="53" t="s">
        <v>290</v>
      </c>
      <c r="H270" s="53" t="s">
        <v>291</v>
      </c>
      <c r="I270" s="85" t="s">
        <v>544</v>
      </c>
      <c r="J270" s="85" t="s">
        <v>848</v>
      </c>
      <c r="K270" s="85" t="s">
        <v>448</v>
      </c>
      <c r="L270" s="53" t="s">
        <v>216</v>
      </c>
      <c r="M270" s="53" t="s">
        <v>252</v>
      </c>
      <c r="N270" s="53"/>
      <c r="O270" s="85" t="s">
        <v>135</v>
      </c>
      <c r="P270" s="53">
        <v>1</v>
      </c>
      <c r="Q270" s="183">
        <v>2</v>
      </c>
      <c r="R270" s="84">
        <v>0.87050000000000005</v>
      </c>
      <c r="S270" s="53"/>
      <c r="T270" s="53"/>
      <c r="U270" s="53">
        <v>3</v>
      </c>
      <c r="V270" s="53">
        <v>480</v>
      </c>
      <c r="X270" s="53"/>
      <c r="Y270" s="53"/>
      <c r="Z270" s="53"/>
      <c r="AA270" s="53"/>
      <c r="AB270" s="53"/>
      <c r="AC270" s="137" t="s">
        <v>124</v>
      </c>
      <c r="AD270" s="138" t="s">
        <v>118</v>
      </c>
      <c r="AE270" s="83">
        <v>8760</v>
      </c>
      <c r="AF270" s="139">
        <v>1</v>
      </c>
      <c r="AG270" s="139">
        <f t="shared" si="47"/>
        <v>0.82191780821917804</v>
      </c>
      <c r="AH270" s="139">
        <v>0.6</v>
      </c>
      <c r="AI270" s="139">
        <v>0.6</v>
      </c>
      <c r="AJ270" s="83">
        <f t="shared" si="48"/>
        <v>2880</v>
      </c>
      <c r="AK270" s="83">
        <f t="shared" si="49"/>
        <v>4320</v>
      </c>
      <c r="AL270" s="104">
        <f t="shared" si="50"/>
        <v>1.0283744974152784</v>
      </c>
      <c r="AM270" s="104">
        <f t="shared" si="51"/>
        <v>1.0283744974152784</v>
      </c>
      <c r="AN270" s="83">
        <f t="shared" si="52"/>
        <v>2961.7185525560017</v>
      </c>
      <c r="AO270" s="83">
        <f t="shared" si="53"/>
        <v>4442.5778288340025</v>
      </c>
      <c r="AP270" s="182">
        <f t="shared" si="54"/>
        <v>10.105798341918435</v>
      </c>
      <c r="AQ270" s="182">
        <f t="shared" si="55"/>
        <v>15.158697512877652</v>
      </c>
      <c r="AR270" s="85"/>
      <c r="AS270" s="85"/>
      <c r="AT270" s="53"/>
      <c r="AU270" s="53"/>
      <c r="AV270" s="53"/>
      <c r="AW270" s="53"/>
      <c r="AX270" s="53"/>
      <c r="AY270" s="53"/>
      <c r="AZ270" s="53"/>
      <c r="BA270" s="53"/>
      <c r="BB270" s="53"/>
      <c r="BC270" s="111">
        <f t="shared" si="56"/>
        <v>2961.7185525560017</v>
      </c>
      <c r="BD270" s="111">
        <f t="shared" si="57"/>
        <v>4442.5778288340025</v>
      </c>
    </row>
    <row r="271" spans="1:56" ht="15.75" x14ac:dyDescent="0.25">
      <c r="A271" s="53">
        <v>261</v>
      </c>
      <c r="B271" s="53"/>
      <c r="C271" s="53"/>
      <c r="D271" s="53" t="s">
        <v>135</v>
      </c>
      <c r="E271" s="53"/>
      <c r="F271" s="53"/>
      <c r="G271" s="53" t="s">
        <v>290</v>
      </c>
      <c r="H271" s="53" t="s">
        <v>291</v>
      </c>
      <c r="I271" s="85" t="s">
        <v>422</v>
      </c>
      <c r="J271" s="85" t="s">
        <v>649</v>
      </c>
      <c r="K271" s="85" t="s">
        <v>530</v>
      </c>
      <c r="L271" s="53" t="s">
        <v>216</v>
      </c>
      <c r="M271" s="53" t="s">
        <v>295</v>
      </c>
      <c r="N271" s="53"/>
      <c r="O271" s="85" t="s">
        <v>135</v>
      </c>
      <c r="P271" s="53">
        <v>1</v>
      </c>
      <c r="Q271" s="183">
        <v>10</v>
      </c>
      <c r="R271" s="84">
        <v>0.87050000000000005</v>
      </c>
      <c r="S271" s="53"/>
      <c r="T271" s="53"/>
      <c r="U271" s="53">
        <v>3</v>
      </c>
      <c r="V271" s="53">
        <v>480</v>
      </c>
      <c r="X271" s="53"/>
      <c r="Y271" s="53"/>
      <c r="Z271" s="53"/>
      <c r="AA271" s="53"/>
      <c r="AB271" s="53"/>
      <c r="AC271" s="137" t="s">
        <v>124</v>
      </c>
      <c r="AD271" s="138" t="s">
        <v>118</v>
      </c>
      <c r="AE271" s="83">
        <v>8760</v>
      </c>
      <c r="AF271" s="139">
        <v>1</v>
      </c>
      <c r="AG271" s="139">
        <f t="shared" si="47"/>
        <v>0.82191780821917804</v>
      </c>
      <c r="AH271" s="139">
        <v>0.6</v>
      </c>
      <c r="AI271" s="139">
        <v>0.6</v>
      </c>
      <c r="AJ271" s="83">
        <f t="shared" si="48"/>
        <v>2880</v>
      </c>
      <c r="AK271" s="83">
        <f t="shared" si="49"/>
        <v>4320</v>
      </c>
      <c r="AL271" s="104">
        <f t="shared" si="50"/>
        <v>5.1418724870763919</v>
      </c>
      <c r="AM271" s="104">
        <f t="shared" si="51"/>
        <v>5.1418724870763919</v>
      </c>
      <c r="AN271" s="83">
        <f t="shared" si="52"/>
        <v>14808.592762780008</v>
      </c>
      <c r="AO271" s="83">
        <f t="shared" si="53"/>
        <v>22212.889144170014</v>
      </c>
      <c r="AP271" s="182">
        <f t="shared" si="54"/>
        <v>50.528991709592177</v>
      </c>
      <c r="AQ271" s="182">
        <f t="shared" si="55"/>
        <v>75.793487564388272</v>
      </c>
      <c r="AR271" s="85"/>
      <c r="AS271" s="85"/>
      <c r="AT271" s="53"/>
      <c r="AU271" s="53"/>
      <c r="AV271" s="53"/>
      <c r="AW271" s="53"/>
      <c r="AX271" s="53"/>
      <c r="AY271" s="53"/>
      <c r="AZ271" s="53"/>
      <c r="BA271" s="53"/>
      <c r="BB271" s="53"/>
      <c r="BC271" s="111">
        <f t="shared" si="56"/>
        <v>14808.592762780008</v>
      </c>
      <c r="BD271" s="111">
        <f t="shared" si="57"/>
        <v>22212.889144170014</v>
      </c>
    </row>
    <row r="272" spans="1:56" ht="15.75" x14ac:dyDescent="0.25">
      <c r="A272" s="53">
        <v>262</v>
      </c>
      <c r="B272" s="53"/>
      <c r="C272" s="53"/>
      <c r="D272" s="53" t="s">
        <v>135</v>
      </c>
      <c r="E272" s="53"/>
      <c r="F272" s="53"/>
      <c r="G272" s="53" t="s">
        <v>290</v>
      </c>
      <c r="H272" s="53" t="s">
        <v>291</v>
      </c>
      <c r="I272" s="85" t="s">
        <v>422</v>
      </c>
      <c r="J272" s="85" t="s">
        <v>654</v>
      </c>
      <c r="K272" s="85" t="s">
        <v>655</v>
      </c>
      <c r="L272" s="53" t="s">
        <v>216</v>
      </c>
      <c r="M272" s="53" t="s">
        <v>295</v>
      </c>
      <c r="N272" s="53"/>
      <c r="O272" s="85" t="s">
        <v>135</v>
      </c>
      <c r="P272" s="53">
        <v>1</v>
      </c>
      <c r="Q272" s="183">
        <v>10</v>
      </c>
      <c r="R272" s="84">
        <v>0.87050000000000005</v>
      </c>
      <c r="S272" s="53"/>
      <c r="T272" s="53"/>
      <c r="U272" s="53">
        <v>3</v>
      </c>
      <c r="V272" s="53">
        <v>480</v>
      </c>
      <c r="X272" s="53"/>
      <c r="Y272" s="53"/>
      <c r="Z272" s="53"/>
      <c r="AA272" s="53"/>
      <c r="AB272" s="53"/>
      <c r="AC272" s="137" t="s">
        <v>124</v>
      </c>
      <c r="AD272" s="138" t="s">
        <v>118</v>
      </c>
      <c r="AE272" s="83">
        <v>8760</v>
      </c>
      <c r="AF272" s="139">
        <v>1</v>
      </c>
      <c r="AG272" s="139">
        <f t="shared" si="47"/>
        <v>0.82191780821917804</v>
      </c>
      <c r="AH272" s="139">
        <v>0.6</v>
      </c>
      <c r="AI272" s="139">
        <v>0.6</v>
      </c>
      <c r="AJ272" s="83">
        <f t="shared" si="48"/>
        <v>2880</v>
      </c>
      <c r="AK272" s="83">
        <f t="shared" si="49"/>
        <v>4320</v>
      </c>
      <c r="AL272" s="104">
        <f t="shared" si="50"/>
        <v>5.1418724870763919</v>
      </c>
      <c r="AM272" s="104">
        <f t="shared" si="51"/>
        <v>5.1418724870763919</v>
      </c>
      <c r="AN272" s="83">
        <f t="shared" si="52"/>
        <v>14808.592762780008</v>
      </c>
      <c r="AO272" s="83">
        <f t="shared" si="53"/>
        <v>22212.889144170014</v>
      </c>
      <c r="AP272" s="182">
        <f t="shared" si="54"/>
        <v>50.528991709592177</v>
      </c>
      <c r="AQ272" s="182">
        <f t="shared" si="55"/>
        <v>75.793487564388272</v>
      </c>
      <c r="AR272" s="85"/>
      <c r="AS272" s="85"/>
      <c r="AT272" s="53"/>
      <c r="AU272" s="53"/>
      <c r="AV272" s="53"/>
      <c r="AW272" s="53"/>
      <c r="AX272" s="53"/>
      <c r="AY272" s="53"/>
      <c r="AZ272" s="53"/>
      <c r="BA272" s="53"/>
      <c r="BB272" s="53"/>
      <c r="BC272" s="111">
        <f t="shared" si="56"/>
        <v>14808.592762780008</v>
      </c>
      <c r="BD272" s="111">
        <f t="shared" si="57"/>
        <v>22212.889144170014</v>
      </c>
    </row>
    <row r="273" spans="1:56" ht="15.75" x14ac:dyDescent="0.25">
      <c r="A273" s="53">
        <v>263</v>
      </c>
      <c r="B273" s="53"/>
      <c r="C273" s="53"/>
      <c r="D273" s="53" t="s">
        <v>135</v>
      </c>
      <c r="E273" s="53"/>
      <c r="F273" s="53"/>
      <c r="G273" s="53" t="s">
        <v>290</v>
      </c>
      <c r="H273" s="53" t="s">
        <v>291</v>
      </c>
      <c r="I273" s="85" t="s">
        <v>323</v>
      </c>
      <c r="J273" s="85" t="s">
        <v>324</v>
      </c>
      <c r="K273" s="85" t="s">
        <v>294</v>
      </c>
      <c r="L273" s="53" t="s">
        <v>216</v>
      </c>
      <c r="M273" s="53" t="s">
        <v>295</v>
      </c>
      <c r="N273" s="53"/>
      <c r="O273" s="85" t="s">
        <v>135</v>
      </c>
      <c r="P273" s="53">
        <v>1</v>
      </c>
      <c r="Q273" s="183">
        <v>60</v>
      </c>
      <c r="R273" s="84">
        <v>0.91300000000000003</v>
      </c>
      <c r="S273" s="53"/>
      <c r="T273" s="53"/>
      <c r="U273" s="53">
        <v>3</v>
      </c>
      <c r="V273" s="53">
        <v>480</v>
      </c>
      <c r="X273" s="53"/>
      <c r="Y273" s="53"/>
      <c r="Z273" s="53"/>
      <c r="AA273" s="53"/>
      <c r="AB273" s="53"/>
      <c r="AC273" s="137" t="s">
        <v>124</v>
      </c>
      <c r="AD273" s="138" t="s">
        <v>118</v>
      </c>
      <c r="AE273" s="83">
        <v>8760</v>
      </c>
      <c r="AF273" s="139">
        <v>1</v>
      </c>
      <c r="AG273" s="139">
        <f t="shared" si="47"/>
        <v>0.82191780821917804</v>
      </c>
      <c r="AH273" s="139">
        <v>0.75</v>
      </c>
      <c r="AI273" s="139">
        <v>0.75</v>
      </c>
      <c r="AJ273" s="83">
        <f t="shared" si="48"/>
        <v>2880</v>
      </c>
      <c r="AK273" s="83">
        <f t="shared" si="49"/>
        <v>4320</v>
      </c>
      <c r="AL273" s="104">
        <f t="shared" si="50"/>
        <v>36.768893756845564</v>
      </c>
      <c r="AM273" s="104">
        <f t="shared" si="51"/>
        <v>36.768893756845564</v>
      </c>
      <c r="AN273" s="83">
        <f t="shared" si="52"/>
        <v>105894.41401971523</v>
      </c>
      <c r="AO273" s="83">
        <f t="shared" si="53"/>
        <v>158841.62102957282</v>
      </c>
      <c r="AP273" s="182">
        <f t="shared" si="54"/>
        <v>361.32656585323116</v>
      </c>
      <c r="AQ273" s="182">
        <f t="shared" si="55"/>
        <v>541.98984877984651</v>
      </c>
      <c r="AR273" s="85"/>
      <c r="AS273" s="85"/>
      <c r="AT273" s="53"/>
      <c r="AU273" s="53"/>
      <c r="AV273" s="53"/>
      <c r="AW273" s="53"/>
      <c r="AX273" s="53"/>
      <c r="AY273" s="53"/>
      <c r="AZ273" s="53"/>
      <c r="BA273" s="53"/>
      <c r="BB273" s="53"/>
      <c r="BC273" s="111">
        <f t="shared" si="56"/>
        <v>105894.41401971523</v>
      </c>
      <c r="BD273" s="111">
        <f t="shared" si="57"/>
        <v>158841.62102957282</v>
      </c>
    </row>
    <row r="274" spans="1:56" ht="15.75" x14ac:dyDescent="0.25">
      <c r="A274" s="53">
        <v>264</v>
      </c>
      <c r="B274" s="53"/>
      <c r="C274" s="53"/>
      <c r="D274" s="53" t="s">
        <v>135</v>
      </c>
      <c r="E274" s="53"/>
      <c r="F274" s="53"/>
      <c r="G274" s="53" t="s">
        <v>290</v>
      </c>
      <c r="H274" s="53" t="s">
        <v>291</v>
      </c>
      <c r="I274" s="85" t="s">
        <v>428</v>
      </c>
      <c r="J274" s="85" t="s">
        <v>650</v>
      </c>
      <c r="K274" s="85" t="s">
        <v>530</v>
      </c>
      <c r="L274" s="53" t="s">
        <v>216</v>
      </c>
      <c r="M274" s="53" t="s">
        <v>295</v>
      </c>
      <c r="N274" s="53"/>
      <c r="O274" s="85" t="s">
        <v>651</v>
      </c>
      <c r="P274" s="53">
        <v>1</v>
      </c>
      <c r="Q274" s="183">
        <v>10</v>
      </c>
      <c r="R274" s="84">
        <v>0.87050000000000005</v>
      </c>
      <c r="S274" s="53"/>
      <c r="T274" s="53"/>
      <c r="U274" s="53">
        <v>3</v>
      </c>
      <c r="V274" s="53">
        <v>480</v>
      </c>
      <c r="X274" s="53"/>
      <c r="Y274" s="53"/>
      <c r="Z274" s="53"/>
      <c r="AA274" s="53"/>
      <c r="AB274" s="53"/>
      <c r="AC274" s="137" t="s">
        <v>124</v>
      </c>
      <c r="AD274" s="138" t="s">
        <v>118</v>
      </c>
      <c r="AE274" s="83">
        <v>8760</v>
      </c>
      <c r="AF274" s="139">
        <v>1</v>
      </c>
      <c r="AG274" s="139">
        <f t="shared" si="47"/>
        <v>0.82191780821917804</v>
      </c>
      <c r="AH274" s="139">
        <v>0.6</v>
      </c>
      <c r="AI274" s="139">
        <v>0.6</v>
      </c>
      <c r="AJ274" s="83">
        <f t="shared" si="48"/>
        <v>2880</v>
      </c>
      <c r="AK274" s="83">
        <f t="shared" si="49"/>
        <v>4320</v>
      </c>
      <c r="AL274" s="104">
        <f t="shared" si="50"/>
        <v>5.1418724870763919</v>
      </c>
      <c r="AM274" s="104">
        <f t="shared" si="51"/>
        <v>5.1418724870763919</v>
      </c>
      <c r="AN274" s="83">
        <f t="shared" si="52"/>
        <v>14808.592762780008</v>
      </c>
      <c r="AO274" s="83">
        <f t="shared" si="53"/>
        <v>22212.889144170014</v>
      </c>
      <c r="AP274" s="182">
        <f t="shared" si="54"/>
        <v>50.528991709592177</v>
      </c>
      <c r="AQ274" s="182">
        <f t="shared" si="55"/>
        <v>75.793487564388272</v>
      </c>
      <c r="AR274" s="85"/>
      <c r="AS274" s="85"/>
      <c r="AT274" s="53"/>
      <c r="AU274" s="53"/>
      <c r="AV274" s="53"/>
      <c r="AW274" s="53"/>
      <c r="AX274" s="53"/>
      <c r="AY274" s="53"/>
      <c r="AZ274" s="53"/>
      <c r="BA274" s="53"/>
      <c r="BB274" s="53"/>
      <c r="BC274" s="111">
        <f t="shared" si="56"/>
        <v>14808.592762780008</v>
      </c>
      <c r="BD274" s="111">
        <f t="shared" si="57"/>
        <v>22212.889144170014</v>
      </c>
    </row>
    <row r="275" spans="1:56" ht="15.75" x14ac:dyDescent="0.25">
      <c r="A275" s="53">
        <v>265</v>
      </c>
      <c r="B275" s="53"/>
      <c r="C275" s="53"/>
      <c r="D275" s="53" t="s">
        <v>135</v>
      </c>
      <c r="E275" s="53"/>
      <c r="F275" s="53"/>
      <c r="G275" s="53" t="s">
        <v>290</v>
      </c>
      <c r="H275" s="53" t="s">
        <v>291</v>
      </c>
      <c r="I275" s="85" t="s">
        <v>428</v>
      </c>
      <c r="J275" s="85" t="s">
        <v>650</v>
      </c>
      <c r="K275" s="85" t="s">
        <v>655</v>
      </c>
      <c r="L275" s="53" t="s">
        <v>216</v>
      </c>
      <c r="M275" s="53" t="s">
        <v>295</v>
      </c>
      <c r="N275" s="53"/>
      <c r="O275" s="85" t="s">
        <v>656</v>
      </c>
      <c r="P275" s="53">
        <v>1</v>
      </c>
      <c r="Q275" s="183">
        <v>10</v>
      </c>
      <c r="R275" s="84">
        <v>0.87050000000000005</v>
      </c>
      <c r="S275" s="53"/>
      <c r="T275" s="53"/>
      <c r="U275" s="53">
        <v>3</v>
      </c>
      <c r="V275" s="53">
        <v>480</v>
      </c>
      <c r="X275" s="53"/>
      <c r="Y275" s="53"/>
      <c r="Z275" s="53"/>
      <c r="AA275" s="53"/>
      <c r="AB275" s="53"/>
      <c r="AC275" s="137" t="s">
        <v>124</v>
      </c>
      <c r="AD275" s="138" t="s">
        <v>118</v>
      </c>
      <c r="AE275" s="83">
        <v>8760</v>
      </c>
      <c r="AF275" s="139">
        <v>1</v>
      </c>
      <c r="AG275" s="139">
        <f t="shared" ref="AG275:AG306" si="58">$AB$7</f>
        <v>0.82191780821917804</v>
      </c>
      <c r="AH275" s="139">
        <v>0.6</v>
      </c>
      <c r="AI275" s="139">
        <v>0.6</v>
      </c>
      <c r="AJ275" s="83">
        <f t="shared" si="48"/>
        <v>2880</v>
      </c>
      <c r="AK275" s="83">
        <f t="shared" si="49"/>
        <v>4320</v>
      </c>
      <c r="AL275" s="104">
        <f t="shared" si="50"/>
        <v>5.1418724870763919</v>
      </c>
      <c r="AM275" s="104">
        <f t="shared" si="51"/>
        <v>5.1418724870763919</v>
      </c>
      <c r="AN275" s="83">
        <f t="shared" si="52"/>
        <v>14808.592762780008</v>
      </c>
      <c r="AO275" s="83">
        <f t="shared" si="53"/>
        <v>22212.889144170014</v>
      </c>
      <c r="AP275" s="182">
        <f t="shared" si="54"/>
        <v>50.528991709592177</v>
      </c>
      <c r="AQ275" s="182">
        <f t="shared" si="55"/>
        <v>75.793487564388272</v>
      </c>
      <c r="AR275" s="85"/>
      <c r="AS275" s="85"/>
      <c r="AT275" s="53"/>
      <c r="AU275" s="53"/>
      <c r="AV275" s="53"/>
      <c r="AW275" s="53"/>
      <c r="AX275" s="53"/>
      <c r="AY275" s="53"/>
      <c r="AZ275" s="53"/>
      <c r="BA275" s="53"/>
      <c r="BB275" s="53"/>
      <c r="BC275" s="111">
        <f t="shared" si="56"/>
        <v>14808.592762780008</v>
      </c>
      <c r="BD275" s="111">
        <f t="shared" si="57"/>
        <v>22212.889144170014</v>
      </c>
    </row>
    <row r="276" spans="1:56" ht="15.75" x14ac:dyDescent="0.25">
      <c r="A276" s="53">
        <v>266</v>
      </c>
      <c r="B276" s="53"/>
      <c r="C276" s="53"/>
      <c r="D276" s="53" t="s">
        <v>135</v>
      </c>
      <c r="E276" s="53"/>
      <c r="F276" s="53"/>
      <c r="G276" s="53" t="s">
        <v>290</v>
      </c>
      <c r="H276" s="53" t="s">
        <v>291</v>
      </c>
      <c r="I276" s="85" t="s">
        <v>309</v>
      </c>
      <c r="J276" s="85" t="s">
        <v>310</v>
      </c>
      <c r="K276" s="85" t="s">
        <v>312</v>
      </c>
      <c r="L276" s="53" t="s">
        <v>216</v>
      </c>
      <c r="M276" s="53" t="s">
        <v>295</v>
      </c>
      <c r="N276" s="53"/>
      <c r="O276" s="85" t="s">
        <v>135</v>
      </c>
      <c r="P276" s="53">
        <v>1</v>
      </c>
      <c r="Q276" s="183">
        <v>100</v>
      </c>
      <c r="R276" s="84">
        <v>0.91650000000000009</v>
      </c>
      <c r="S276" s="53"/>
      <c r="T276" s="53"/>
      <c r="U276" s="53">
        <v>3</v>
      </c>
      <c r="V276" s="53">
        <v>480</v>
      </c>
      <c r="W276" s="53"/>
      <c r="X276" s="53"/>
      <c r="Y276" s="53"/>
      <c r="Z276" s="53"/>
      <c r="AA276" s="53"/>
      <c r="AB276" s="53"/>
      <c r="AC276" s="137" t="s">
        <v>124</v>
      </c>
      <c r="AD276" s="138" t="s">
        <v>118</v>
      </c>
      <c r="AE276" s="83">
        <v>8760</v>
      </c>
      <c r="AF276" s="139">
        <v>1</v>
      </c>
      <c r="AG276" s="139">
        <f t="shared" si="58"/>
        <v>0.82191780821917804</v>
      </c>
      <c r="AH276" s="139">
        <v>0.75</v>
      </c>
      <c r="AI276" s="139">
        <v>0.75</v>
      </c>
      <c r="AJ276" s="83">
        <f t="shared" si="48"/>
        <v>2880</v>
      </c>
      <c r="AK276" s="83">
        <f t="shared" si="49"/>
        <v>4320</v>
      </c>
      <c r="AL276" s="104">
        <f t="shared" si="50"/>
        <v>61.047463175122736</v>
      </c>
      <c r="AM276" s="104">
        <f t="shared" si="51"/>
        <v>61.047463175122736</v>
      </c>
      <c r="AN276" s="83">
        <f t="shared" si="52"/>
        <v>175816.69394435349</v>
      </c>
      <c r="AO276" s="83">
        <f t="shared" si="53"/>
        <v>263725.04091653024</v>
      </c>
      <c r="AP276" s="182">
        <f t="shared" si="54"/>
        <v>599.91117407528623</v>
      </c>
      <c r="AQ276" s="182">
        <f t="shared" si="55"/>
        <v>899.86676111292945</v>
      </c>
      <c r="AR276" s="85"/>
      <c r="AS276" s="85"/>
      <c r="AT276" s="53"/>
      <c r="AU276" s="53"/>
      <c r="AV276" s="53"/>
      <c r="AW276" s="53"/>
      <c r="AX276" s="53"/>
      <c r="AY276" s="53"/>
      <c r="AZ276" s="53"/>
      <c r="BA276" s="53"/>
      <c r="BB276" s="53"/>
      <c r="BC276" s="111">
        <f t="shared" si="56"/>
        <v>175816.69394435349</v>
      </c>
      <c r="BD276" s="111">
        <f t="shared" si="57"/>
        <v>263725.04091653024</v>
      </c>
    </row>
    <row r="277" spans="1:56" ht="21" customHeight="1" x14ac:dyDescent="0.25">
      <c r="A277" s="53">
        <v>267</v>
      </c>
      <c r="B277" s="53"/>
      <c r="C277" s="53"/>
      <c r="D277" s="53" t="s">
        <v>135</v>
      </c>
      <c r="E277" s="53"/>
      <c r="F277" s="53"/>
      <c r="G277" s="53" t="s">
        <v>290</v>
      </c>
      <c r="H277" s="53" t="s">
        <v>291</v>
      </c>
      <c r="I277" s="85" t="s">
        <v>309</v>
      </c>
      <c r="J277" s="85" t="s">
        <v>310</v>
      </c>
      <c r="K277" s="85" t="s">
        <v>311</v>
      </c>
      <c r="L277" s="53" t="s">
        <v>216</v>
      </c>
      <c r="M277" s="53" t="s">
        <v>295</v>
      </c>
      <c r="N277" s="53"/>
      <c r="O277" s="85" t="s">
        <v>135</v>
      </c>
      <c r="P277" s="53">
        <v>1</v>
      </c>
      <c r="Q277" s="183">
        <v>100</v>
      </c>
      <c r="R277" s="84">
        <v>0.91650000000000009</v>
      </c>
      <c r="S277" s="53"/>
      <c r="T277" s="53"/>
      <c r="U277" s="53">
        <v>3</v>
      </c>
      <c r="V277" s="53">
        <v>480</v>
      </c>
      <c r="X277" s="53"/>
      <c r="Y277" s="53"/>
      <c r="Z277" s="53"/>
      <c r="AA277" s="53"/>
      <c r="AB277" s="53"/>
      <c r="AC277" s="137" t="s">
        <v>124</v>
      </c>
      <c r="AD277" s="138" t="s">
        <v>118</v>
      </c>
      <c r="AE277" s="83">
        <v>8760</v>
      </c>
      <c r="AF277" s="139">
        <v>1</v>
      </c>
      <c r="AG277" s="139">
        <f t="shared" si="58"/>
        <v>0.82191780821917804</v>
      </c>
      <c r="AH277" s="139">
        <v>0.75</v>
      </c>
      <c r="AI277" s="139">
        <v>0.75</v>
      </c>
      <c r="AJ277" s="83">
        <f t="shared" si="48"/>
        <v>2880</v>
      </c>
      <c r="AK277" s="83">
        <f t="shared" si="49"/>
        <v>4320</v>
      </c>
      <c r="AL277" s="104">
        <f t="shared" si="50"/>
        <v>61.047463175122736</v>
      </c>
      <c r="AM277" s="104">
        <f t="shared" si="51"/>
        <v>61.047463175122736</v>
      </c>
      <c r="AN277" s="83">
        <f t="shared" si="52"/>
        <v>175816.69394435349</v>
      </c>
      <c r="AO277" s="83">
        <f t="shared" si="53"/>
        <v>263725.04091653024</v>
      </c>
      <c r="AP277" s="182">
        <f t="shared" si="54"/>
        <v>599.91117407528623</v>
      </c>
      <c r="AQ277" s="182">
        <f t="shared" si="55"/>
        <v>899.86676111292945</v>
      </c>
      <c r="AR277" s="85"/>
      <c r="AS277" s="85"/>
      <c r="AT277" s="53"/>
      <c r="AU277" s="53"/>
      <c r="AV277" s="53"/>
      <c r="AW277" s="53"/>
      <c r="AX277" s="53"/>
      <c r="AY277" s="53"/>
      <c r="AZ277" s="53"/>
      <c r="BA277" s="53"/>
      <c r="BB277" s="53"/>
      <c r="BC277" s="111">
        <f t="shared" si="56"/>
        <v>175816.69394435349</v>
      </c>
      <c r="BD277" s="111">
        <f t="shared" si="57"/>
        <v>263725.04091653024</v>
      </c>
    </row>
    <row r="278" spans="1:56" ht="21" customHeight="1" x14ac:dyDescent="0.25">
      <c r="A278" s="53">
        <v>268</v>
      </c>
      <c r="B278" s="53"/>
      <c r="C278" s="53"/>
      <c r="D278" s="53" t="s">
        <v>135</v>
      </c>
      <c r="E278" s="53"/>
      <c r="F278" s="53"/>
      <c r="G278" s="53" t="s">
        <v>290</v>
      </c>
      <c r="H278" s="53" t="s">
        <v>291</v>
      </c>
      <c r="I278" s="85" t="s">
        <v>428</v>
      </c>
      <c r="J278" s="85" t="s">
        <v>652</v>
      </c>
      <c r="K278" s="85" t="s">
        <v>530</v>
      </c>
      <c r="L278" s="53" t="s">
        <v>216</v>
      </c>
      <c r="M278" s="53" t="s">
        <v>295</v>
      </c>
      <c r="N278" s="53"/>
      <c r="O278" s="85" t="s">
        <v>653</v>
      </c>
      <c r="P278" s="53">
        <v>1</v>
      </c>
      <c r="Q278" s="183">
        <v>10</v>
      </c>
      <c r="R278" s="84">
        <v>0.87050000000000005</v>
      </c>
      <c r="S278" s="53"/>
      <c r="T278" s="53"/>
      <c r="U278" s="53">
        <v>3</v>
      </c>
      <c r="V278" s="53">
        <v>480</v>
      </c>
      <c r="X278" s="53"/>
      <c r="Y278" s="53"/>
      <c r="Z278" s="53"/>
      <c r="AA278" s="53"/>
      <c r="AB278" s="53"/>
      <c r="AC278" s="137" t="s">
        <v>124</v>
      </c>
      <c r="AD278" s="138" t="s">
        <v>118</v>
      </c>
      <c r="AE278" s="83">
        <v>8760</v>
      </c>
      <c r="AF278" s="139">
        <v>1</v>
      </c>
      <c r="AG278" s="139">
        <f t="shared" si="58"/>
        <v>0.82191780821917804</v>
      </c>
      <c r="AH278" s="139">
        <v>0.6</v>
      </c>
      <c r="AI278" s="139">
        <v>0.6</v>
      </c>
      <c r="AJ278" s="83">
        <f t="shared" si="48"/>
        <v>2880</v>
      </c>
      <c r="AK278" s="83">
        <f t="shared" si="49"/>
        <v>4320</v>
      </c>
      <c r="AL278" s="104">
        <f t="shared" si="50"/>
        <v>5.1418724870763919</v>
      </c>
      <c r="AM278" s="104">
        <f t="shared" si="51"/>
        <v>5.1418724870763919</v>
      </c>
      <c r="AN278" s="83">
        <f t="shared" si="52"/>
        <v>14808.592762780008</v>
      </c>
      <c r="AO278" s="83">
        <f t="shared" si="53"/>
        <v>22212.889144170014</v>
      </c>
      <c r="AP278" s="182">
        <f t="shared" si="54"/>
        <v>50.528991709592177</v>
      </c>
      <c r="AQ278" s="182">
        <f t="shared" si="55"/>
        <v>75.793487564388272</v>
      </c>
      <c r="AR278" s="85"/>
      <c r="AS278" s="85"/>
      <c r="AT278" s="53"/>
      <c r="AU278" s="53"/>
      <c r="AV278" s="53"/>
      <c r="AW278" s="53"/>
      <c r="AX278" s="53"/>
      <c r="AY278" s="53"/>
      <c r="AZ278" s="53"/>
      <c r="BA278" s="53"/>
      <c r="BB278" s="53"/>
      <c r="BC278" s="111">
        <f t="shared" si="56"/>
        <v>14808.592762780008</v>
      </c>
      <c r="BD278" s="111">
        <f t="shared" si="57"/>
        <v>22212.889144170014</v>
      </c>
    </row>
    <row r="279" spans="1:56" ht="21" customHeight="1" x14ac:dyDescent="0.25">
      <c r="A279" s="53">
        <v>269</v>
      </c>
      <c r="B279" s="53"/>
      <c r="C279" s="53"/>
      <c r="D279" s="53" t="s">
        <v>135</v>
      </c>
      <c r="E279" s="53"/>
      <c r="F279" s="53"/>
      <c r="G279" s="53" t="s">
        <v>290</v>
      </c>
      <c r="H279" s="53" t="s">
        <v>291</v>
      </c>
      <c r="I279" s="85" t="s">
        <v>428</v>
      </c>
      <c r="J279" s="85" t="s">
        <v>657</v>
      </c>
      <c r="K279" s="85" t="s">
        <v>655</v>
      </c>
      <c r="L279" s="53" t="s">
        <v>216</v>
      </c>
      <c r="M279" s="53" t="s">
        <v>295</v>
      </c>
      <c r="N279" s="53"/>
      <c r="O279" s="85" t="s">
        <v>658</v>
      </c>
      <c r="P279" s="53">
        <v>1</v>
      </c>
      <c r="Q279" s="183">
        <v>10</v>
      </c>
      <c r="R279" s="84">
        <v>0.87050000000000005</v>
      </c>
      <c r="S279" s="53"/>
      <c r="T279" s="53"/>
      <c r="U279" s="53">
        <v>3</v>
      </c>
      <c r="V279" s="53">
        <v>480</v>
      </c>
      <c r="X279" s="53"/>
      <c r="Y279" s="53"/>
      <c r="Z279" s="53"/>
      <c r="AA279" s="53"/>
      <c r="AB279" s="53"/>
      <c r="AC279" s="137" t="s">
        <v>124</v>
      </c>
      <c r="AD279" s="138" t="s">
        <v>118</v>
      </c>
      <c r="AE279" s="83">
        <v>8760</v>
      </c>
      <c r="AF279" s="139">
        <v>1</v>
      </c>
      <c r="AG279" s="139">
        <f t="shared" si="58"/>
        <v>0.82191780821917804</v>
      </c>
      <c r="AH279" s="139">
        <v>0.6</v>
      </c>
      <c r="AI279" s="139">
        <v>0.6</v>
      </c>
      <c r="AJ279" s="83">
        <f t="shared" si="48"/>
        <v>2880</v>
      </c>
      <c r="AK279" s="83">
        <f t="shared" si="49"/>
        <v>4320</v>
      </c>
      <c r="AL279" s="104">
        <f t="shared" si="50"/>
        <v>5.1418724870763919</v>
      </c>
      <c r="AM279" s="104">
        <f t="shared" si="51"/>
        <v>5.1418724870763919</v>
      </c>
      <c r="AN279" s="83">
        <f t="shared" si="52"/>
        <v>14808.592762780008</v>
      </c>
      <c r="AO279" s="83">
        <f t="shared" si="53"/>
        <v>22212.889144170014</v>
      </c>
      <c r="AP279" s="182">
        <f t="shared" si="54"/>
        <v>50.528991709592177</v>
      </c>
      <c r="AQ279" s="182">
        <f t="shared" si="55"/>
        <v>75.793487564388272</v>
      </c>
      <c r="AR279" s="85"/>
      <c r="AS279" s="85"/>
      <c r="AT279" s="53"/>
      <c r="AU279" s="53"/>
      <c r="AV279" s="53"/>
      <c r="AW279" s="53"/>
      <c r="AX279" s="53"/>
      <c r="AY279" s="53"/>
      <c r="AZ279" s="53"/>
      <c r="BA279" s="53"/>
      <c r="BB279" s="53"/>
      <c r="BC279" s="111">
        <f t="shared" si="56"/>
        <v>14808.592762780008</v>
      </c>
      <c r="BD279" s="111">
        <f t="shared" si="57"/>
        <v>22212.889144170014</v>
      </c>
    </row>
    <row r="280" spans="1:56" ht="21" customHeight="1" x14ac:dyDescent="0.25">
      <c r="A280" s="53">
        <v>270</v>
      </c>
      <c r="B280" s="53"/>
      <c r="C280" s="53"/>
      <c r="D280" s="53" t="s">
        <v>135</v>
      </c>
      <c r="E280" s="53"/>
      <c r="F280" s="53"/>
      <c r="G280" s="53" t="s">
        <v>290</v>
      </c>
      <c r="H280" s="53" t="s">
        <v>291</v>
      </c>
      <c r="I280" s="85" t="s">
        <v>317</v>
      </c>
      <c r="J280" s="85" t="s">
        <v>318</v>
      </c>
      <c r="K280" s="85" t="s">
        <v>294</v>
      </c>
      <c r="L280" s="53" t="s">
        <v>216</v>
      </c>
      <c r="M280" s="53" t="s">
        <v>295</v>
      </c>
      <c r="N280" s="53"/>
      <c r="O280" s="85" t="s">
        <v>135</v>
      </c>
      <c r="P280" s="53">
        <v>1</v>
      </c>
      <c r="Q280" s="183">
        <v>75</v>
      </c>
      <c r="R280" s="84">
        <v>0.91149999999999998</v>
      </c>
      <c r="S280" s="53"/>
      <c r="T280" s="53"/>
      <c r="U280" s="53">
        <v>3</v>
      </c>
      <c r="V280" s="53">
        <v>480</v>
      </c>
      <c r="X280" s="53"/>
      <c r="Y280" s="53"/>
      <c r="Z280" s="53"/>
      <c r="AA280" s="53"/>
      <c r="AB280" s="53"/>
      <c r="AC280" s="137" t="s">
        <v>124</v>
      </c>
      <c r="AD280" s="138" t="s">
        <v>118</v>
      </c>
      <c r="AE280" s="83">
        <v>8760</v>
      </c>
      <c r="AF280" s="139">
        <v>1</v>
      </c>
      <c r="AG280" s="139">
        <f t="shared" si="58"/>
        <v>0.82191780821917804</v>
      </c>
      <c r="AH280" s="139">
        <v>0.75</v>
      </c>
      <c r="AI280" s="139">
        <v>0.75</v>
      </c>
      <c r="AJ280" s="83">
        <f t="shared" si="48"/>
        <v>2880</v>
      </c>
      <c r="AK280" s="83">
        <f t="shared" si="49"/>
        <v>4320</v>
      </c>
      <c r="AL280" s="104">
        <f t="shared" si="50"/>
        <v>46.036752605595176</v>
      </c>
      <c r="AM280" s="104">
        <f t="shared" si="51"/>
        <v>46.036752605595176</v>
      </c>
      <c r="AN280" s="83">
        <f t="shared" si="52"/>
        <v>132585.84750411409</v>
      </c>
      <c r="AO280" s="83">
        <f t="shared" si="53"/>
        <v>198878.77125617117</v>
      </c>
      <c r="AP280" s="182">
        <f t="shared" si="54"/>
        <v>452.40147370268784</v>
      </c>
      <c r="AQ280" s="182">
        <f t="shared" si="55"/>
        <v>678.6022105540319</v>
      </c>
      <c r="AR280" s="85"/>
      <c r="AS280" s="85"/>
      <c r="AT280" s="53"/>
      <c r="AU280" s="53"/>
      <c r="AV280" s="53"/>
      <c r="AW280" s="53"/>
      <c r="AX280" s="53"/>
      <c r="AY280" s="53"/>
      <c r="AZ280" s="53"/>
      <c r="BA280" s="53"/>
      <c r="BB280" s="53"/>
      <c r="BC280" s="111">
        <f t="shared" si="56"/>
        <v>132585.84750411409</v>
      </c>
      <c r="BD280" s="111">
        <f t="shared" si="57"/>
        <v>198878.77125617117</v>
      </c>
    </row>
    <row r="281" spans="1:56" ht="21" customHeight="1" x14ac:dyDescent="0.25">
      <c r="A281" s="53">
        <v>271</v>
      </c>
      <c r="B281" s="53"/>
      <c r="C281" s="53"/>
      <c r="D281" s="53" t="s">
        <v>135</v>
      </c>
      <c r="E281" s="53"/>
      <c r="F281" s="53"/>
      <c r="G281" s="53" t="s">
        <v>290</v>
      </c>
      <c r="H281" s="53" t="s">
        <v>291</v>
      </c>
      <c r="I281" s="85" t="s">
        <v>317</v>
      </c>
      <c r="J281" s="85" t="s">
        <v>318</v>
      </c>
      <c r="K281" s="85" t="s">
        <v>294</v>
      </c>
      <c r="L281" s="53" t="s">
        <v>216</v>
      </c>
      <c r="M281" s="53" t="s">
        <v>295</v>
      </c>
      <c r="N281" s="53"/>
      <c r="O281" s="85" t="s">
        <v>135</v>
      </c>
      <c r="P281" s="53">
        <v>1</v>
      </c>
      <c r="Q281" s="183">
        <v>75</v>
      </c>
      <c r="R281" s="84">
        <v>0.91149999999999998</v>
      </c>
      <c r="S281" s="53"/>
      <c r="T281" s="53"/>
      <c r="U281" s="53">
        <v>3</v>
      </c>
      <c r="V281" s="53">
        <v>480</v>
      </c>
      <c r="X281" s="53"/>
      <c r="Y281" s="53"/>
      <c r="Z281" s="53"/>
      <c r="AA281" s="53"/>
      <c r="AB281" s="53"/>
      <c r="AC281" s="137" t="s">
        <v>124</v>
      </c>
      <c r="AD281" s="138" t="s">
        <v>118</v>
      </c>
      <c r="AE281" s="83">
        <v>8760</v>
      </c>
      <c r="AF281" s="139">
        <v>1</v>
      </c>
      <c r="AG281" s="139">
        <f t="shared" si="58"/>
        <v>0.82191780821917804</v>
      </c>
      <c r="AH281" s="139">
        <v>0.75</v>
      </c>
      <c r="AI281" s="139">
        <v>0.75</v>
      </c>
      <c r="AJ281" s="83">
        <f t="shared" si="48"/>
        <v>2880</v>
      </c>
      <c r="AK281" s="83">
        <f t="shared" si="49"/>
        <v>4320</v>
      </c>
      <c r="AL281" s="104">
        <f t="shared" si="50"/>
        <v>46.036752605595176</v>
      </c>
      <c r="AM281" s="104">
        <f t="shared" si="51"/>
        <v>46.036752605595176</v>
      </c>
      <c r="AN281" s="83">
        <f t="shared" si="52"/>
        <v>132585.84750411409</v>
      </c>
      <c r="AO281" s="83">
        <f t="shared" si="53"/>
        <v>198878.77125617117</v>
      </c>
      <c r="AP281" s="182">
        <f t="shared" si="54"/>
        <v>452.40147370268784</v>
      </c>
      <c r="AQ281" s="182">
        <f t="shared" si="55"/>
        <v>678.6022105540319</v>
      </c>
      <c r="AR281" s="85"/>
      <c r="AS281" s="85"/>
      <c r="AT281" s="53"/>
      <c r="AU281" s="53"/>
      <c r="AV281" s="53"/>
      <c r="AW281" s="53"/>
      <c r="AX281" s="53"/>
      <c r="AY281" s="53"/>
      <c r="AZ281" s="53"/>
      <c r="BA281" s="53"/>
      <c r="BB281" s="53"/>
      <c r="BC281" s="111">
        <f t="shared" si="56"/>
        <v>132585.84750411409</v>
      </c>
      <c r="BD281" s="111">
        <f t="shared" si="57"/>
        <v>198878.77125617117</v>
      </c>
    </row>
    <row r="282" spans="1:56" ht="21" customHeight="1" x14ac:dyDescent="0.25">
      <c r="A282" s="53">
        <v>272</v>
      </c>
      <c r="B282" s="53"/>
      <c r="C282" s="53"/>
      <c r="D282" s="53" t="s">
        <v>135</v>
      </c>
      <c r="E282" s="53"/>
      <c r="F282" s="53"/>
      <c r="G282" s="53" t="s">
        <v>290</v>
      </c>
      <c r="H282" s="53" t="s">
        <v>291</v>
      </c>
      <c r="I282" s="85" t="s">
        <v>428</v>
      </c>
      <c r="J282" s="85" t="s">
        <v>429</v>
      </c>
      <c r="K282" s="85" t="s">
        <v>365</v>
      </c>
      <c r="L282" s="53" t="s">
        <v>216</v>
      </c>
      <c r="M282" s="53" t="s">
        <v>295</v>
      </c>
      <c r="N282" s="53"/>
      <c r="O282" s="85" t="s">
        <v>430</v>
      </c>
      <c r="P282" s="53">
        <v>1</v>
      </c>
      <c r="Q282" s="183">
        <v>40</v>
      </c>
      <c r="R282" s="84">
        <v>0.89250000000000007</v>
      </c>
      <c r="S282" s="53"/>
      <c r="T282" s="53"/>
      <c r="U282" s="53">
        <v>3</v>
      </c>
      <c r="V282" s="53">
        <v>480</v>
      </c>
      <c r="X282" s="53"/>
      <c r="Y282" s="53"/>
      <c r="Z282" s="53"/>
      <c r="AA282" s="53"/>
      <c r="AB282" s="53"/>
      <c r="AC282" s="137" t="s">
        <v>124</v>
      </c>
      <c r="AD282" s="138" t="s">
        <v>118</v>
      </c>
      <c r="AE282" s="83">
        <v>8760</v>
      </c>
      <c r="AF282" s="139">
        <v>1</v>
      </c>
      <c r="AG282" s="139">
        <f t="shared" si="58"/>
        <v>0.82191780821917804</v>
      </c>
      <c r="AH282" s="139">
        <v>0.6</v>
      </c>
      <c r="AI282" s="139">
        <v>0.6</v>
      </c>
      <c r="AJ282" s="83">
        <f t="shared" si="48"/>
        <v>2880</v>
      </c>
      <c r="AK282" s="83">
        <f t="shared" si="49"/>
        <v>4320</v>
      </c>
      <c r="AL282" s="104">
        <f t="shared" si="50"/>
        <v>20.060504201680669</v>
      </c>
      <c r="AM282" s="104">
        <f t="shared" si="51"/>
        <v>20.060504201680669</v>
      </c>
      <c r="AN282" s="83">
        <f t="shared" si="52"/>
        <v>57774.252100840327</v>
      </c>
      <c r="AO282" s="83">
        <f t="shared" si="53"/>
        <v>86661.378151260491</v>
      </c>
      <c r="AP282" s="182">
        <f t="shared" si="54"/>
        <v>197.13383656336131</v>
      </c>
      <c r="AQ282" s="182">
        <f t="shared" si="55"/>
        <v>295.70075484504201</v>
      </c>
      <c r="AR282" s="85"/>
      <c r="AS282" s="85"/>
      <c r="AT282" s="53"/>
      <c r="AU282" s="53"/>
      <c r="AV282" s="53"/>
      <c r="AW282" s="53"/>
      <c r="AX282" s="53"/>
      <c r="AY282" s="53"/>
      <c r="AZ282" s="53"/>
      <c r="BA282" s="53"/>
      <c r="BB282" s="53"/>
      <c r="BC282" s="111">
        <f t="shared" si="56"/>
        <v>57774.252100840327</v>
      </c>
      <c r="BD282" s="111">
        <f t="shared" si="57"/>
        <v>86661.378151260491</v>
      </c>
    </row>
    <row r="283" spans="1:56" ht="21" customHeight="1" x14ac:dyDescent="0.25">
      <c r="A283" s="53">
        <v>273</v>
      </c>
      <c r="B283" s="53"/>
      <c r="C283" s="53"/>
      <c r="D283" s="53" t="s">
        <v>135</v>
      </c>
      <c r="E283" s="53"/>
      <c r="F283" s="53"/>
      <c r="G283" s="53" t="s">
        <v>290</v>
      </c>
      <c r="H283" s="53" t="s">
        <v>291</v>
      </c>
      <c r="I283" s="85" t="s">
        <v>428</v>
      </c>
      <c r="J283" s="85" t="s">
        <v>429</v>
      </c>
      <c r="K283" s="85" t="s">
        <v>365</v>
      </c>
      <c r="L283" s="53" t="s">
        <v>216</v>
      </c>
      <c r="M283" s="53" t="s">
        <v>295</v>
      </c>
      <c r="N283" s="53"/>
      <c r="O283" s="85" t="s">
        <v>431</v>
      </c>
      <c r="P283" s="53">
        <v>1</v>
      </c>
      <c r="Q283" s="183">
        <v>40</v>
      </c>
      <c r="R283" s="84">
        <v>0.89250000000000007</v>
      </c>
      <c r="S283" s="53"/>
      <c r="T283" s="53"/>
      <c r="U283" s="53">
        <v>3</v>
      </c>
      <c r="V283" s="53">
        <v>480</v>
      </c>
      <c r="X283" s="53"/>
      <c r="Y283" s="53"/>
      <c r="Z283" s="53"/>
      <c r="AA283" s="53"/>
      <c r="AB283" s="53"/>
      <c r="AC283" s="137" t="s">
        <v>124</v>
      </c>
      <c r="AD283" s="138" t="s">
        <v>118</v>
      </c>
      <c r="AE283" s="83">
        <v>8760</v>
      </c>
      <c r="AF283" s="139">
        <v>1</v>
      </c>
      <c r="AG283" s="139">
        <f t="shared" si="58"/>
        <v>0.82191780821917804</v>
      </c>
      <c r="AH283" s="139">
        <v>0.6</v>
      </c>
      <c r="AI283" s="139">
        <v>0.6</v>
      </c>
      <c r="AJ283" s="83">
        <f t="shared" si="48"/>
        <v>2880</v>
      </c>
      <c r="AK283" s="83">
        <f t="shared" si="49"/>
        <v>4320</v>
      </c>
      <c r="AL283" s="104">
        <f t="shared" si="50"/>
        <v>20.060504201680669</v>
      </c>
      <c r="AM283" s="104">
        <f t="shared" si="51"/>
        <v>20.060504201680669</v>
      </c>
      <c r="AN283" s="83">
        <f t="shared" si="52"/>
        <v>57774.252100840327</v>
      </c>
      <c r="AO283" s="83">
        <f t="shared" si="53"/>
        <v>86661.378151260491</v>
      </c>
      <c r="AP283" s="182">
        <f t="shared" si="54"/>
        <v>197.13383656336131</v>
      </c>
      <c r="AQ283" s="182">
        <f t="shared" si="55"/>
        <v>295.70075484504201</v>
      </c>
      <c r="AR283" s="85"/>
      <c r="AS283" s="85"/>
      <c r="AT283" s="53"/>
      <c r="AU283" s="53"/>
      <c r="AV283" s="53"/>
      <c r="AW283" s="53"/>
      <c r="AX283" s="53"/>
      <c r="AY283" s="53"/>
      <c r="AZ283" s="53"/>
      <c r="BA283" s="53"/>
      <c r="BB283" s="53"/>
      <c r="BC283" s="111">
        <f t="shared" si="56"/>
        <v>57774.252100840327</v>
      </c>
      <c r="BD283" s="111">
        <f t="shared" si="57"/>
        <v>86661.378151260491</v>
      </c>
    </row>
    <row r="284" spans="1:56" ht="15.75" x14ac:dyDescent="0.25">
      <c r="A284" s="53">
        <v>274</v>
      </c>
      <c r="B284" s="53"/>
      <c r="C284" s="53"/>
      <c r="D284" s="53" t="s">
        <v>135</v>
      </c>
      <c r="E284" s="53"/>
      <c r="F284" s="53"/>
      <c r="G284" s="53" t="s">
        <v>290</v>
      </c>
      <c r="H284" s="53" t="s">
        <v>291</v>
      </c>
      <c r="I284" s="85" t="s">
        <v>428</v>
      </c>
      <c r="J284" s="85" t="s">
        <v>432</v>
      </c>
      <c r="K284" s="85" t="s">
        <v>365</v>
      </c>
      <c r="L284" s="53" t="s">
        <v>216</v>
      </c>
      <c r="M284" s="53" t="s">
        <v>295</v>
      </c>
      <c r="N284" s="53"/>
      <c r="O284" s="85" t="s">
        <v>433</v>
      </c>
      <c r="P284" s="53">
        <v>1</v>
      </c>
      <c r="Q284" s="183">
        <v>40</v>
      </c>
      <c r="R284" s="84">
        <v>0.89250000000000007</v>
      </c>
      <c r="S284" s="53"/>
      <c r="T284" s="53"/>
      <c r="U284" s="53">
        <v>3</v>
      </c>
      <c r="V284" s="53">
        <v>480</v>
      </c>
      <c r="X284" s="53"/>
      <c r="Y284" s="53"/>
      <c r="Z284" s="53"/>
      <c r="AA284" s="53"/>
      <c r="AB284" s="53"/>
      <c r="AC284" s="137" t="s">
        <v>124</v>
      </c>
      <c r="AD284" s="138" t="s">
        <v>118</v>
      </c>
      <c r="AE284" s="83">
        <v>8760</v>
      </c>
      <c r="AF284" s="139">
        <v>1</v>
      </c>
      <c r="AG284" s="139">
        <f t="shared" si="58"/>
        <v>0.82191780821917804</v>
      </c>
      <c r="AH284" s="139">
        <v>0.6</v>
      </c>
      <c r="AI284" s="139">
        <v>0.6</v>
      </c>
      <c r="AJ284" s="83">
        <f t="shared" si="48"/>
        <v>2880</v>
      </c>
      <c r="AK284" s="83">
        <f t="shared" si="49"/>
        <v>4320</v>
      </c>
      <c r="AL284" s="104">
        <f t="shared" si="50"/>
        <v>20.060504201680669</v>
      </c>
      <c r="AM284" s="104">
        <f t="shared" si="51"/>
        <v>20.060504201680669</v>
      </c>
      <c r="AN284" s="83">
        <f t="shared" si="52"/>
        <v>57774.252100840327</v>
      </c>
      <c r="AO284" s="83">
        <f t="shared" si="53"/>
        <v>86661.378151260491</v>
      </c>
      <c r="AP284" s="182">
        <f t="shared" si="54"/>
        <v>197.13383656336131</v>
      </c>
      <c r="AQ284" s="182">
        <f t="shared" si="55"/>
        <v>295.70075484504201</v>
      </c>
      <c r="AR284" s="85"/>
      <c r="AS284" s="85"/>
      <c r="AT284" s="53"/>
      <c r="AU284" s="53"/>
      <c r="AV284" s="53"/>
      <c r="AW284" s="53"/>
      <c r="AX284" s="53"/>
      <c r="AY284" s="53"/>
      <c r="AZ284" s="53"/>
      <c r="BA284" s="53"/>
      <c r="BB284" s="53"/>
      <c r="BC284" s="111">
        <f t="shared" si="56"/>
        <v>57774.252100840327</v>
      </c>
      <c r="BD284" s="111">
        <f t="shared" si="57"/>
        <v>86661.378151260491</v>
      </c>
    </row>
    <row r="285" spans="1:56" ht="15.75" x14ac:dyDescent="0.25">
      <c r="A285" s="53">
        <v>275</v>
      </c>
      <c r="B285" s="53"/>
      <c r="C285" s="53"/>
      <c r="D285" s="53" t="s">
        <v>135</v>
      </c>
      <c r="E285" s="53"/>
      <c r="F285" s="53"/>
      <c r="G285" s="53" t="s">
        <v>290</v>
      </c>
      <c r="H285" s="53" t="s">
        <v>291</v>
      </c>
      <c r="I285" s="85" t="s">
        <v>428</v>
      </c>
      <c r="J285" s="85" t="s">
        <v>432</v>
      </c>
      <c r="K285" s="85" t="s">
        <v>365</v>
      </c>
      <c r="L285" s="53" t="s">
        <v>216</v>
      </c>
      <c r="M285" s="53" t="s">
        <v>295</v>
      </c>
      <c r="N285" s="53"/>
      <c r="O285" s="85" t="s">
        <v>434</v>
      </c>
      <c r="P285" s="53">
        <v>1</v>
      </c>
      <c r="Q285" s="183">
        <v>40</v>
      </c>
      <c r="R285" s="84">
        <v>0.89250000000000007</v>
      </c>
      <c r="S285" s="53"/>
      <c r="T285" s="53"/>
      <c r="U285" s="53">
        <v>3</v>
      </c>
      <c r="V285" s="53">
        <v>480</v>
      </c>
      <c r="X285" s="53"/>
      <c r="Y285" s="53"/>
      <c r="Z285" s="53"/>
      <c r="AA285" s="53"/>
      <c r="AB285" s="53"/>
      <c r="AC285" s="137" t="s">
        <v>124</v>
      </c>
      <c r="AD285" s="138" t="s">
        <v>118</v>
      </c>
      <c r="AE285" s="83">
        <v>8760</v>
      </c>
      <c r="AF285" s="139">
        <v>1</v>
      </c>
      <c r="AG285" s="139">
        <f t="shared" si="58"/>
        <v>0.82191780821917804</v>
      </c>
      <c r="AH285" s="139">
        <v>0.6</v>
      </c>
      <c r="AI285" s="139">
        <v>0.6</v>
      </c>
      <c r="AJ285" s="83">
        <f t="shared" si="48"/>
        <v>2880</v>
      </c>
      <c r="AK285" s="83">
        <f t="shared" si="49"/>
        <v>4320</v>
      </c>
      <c r="AL285" s="104">
        <f t="shared" si="50"/>
        <v>20.060504201680669</v>
      </c>
      <c r="AM285" s="104">
        <f t="shared" si="51"/>
        <v>20.060504201680669</v>
      </c>
      <c r="AN285" s="83">
        <f t="shared" si="52"/>
        <v>57774.252100840327</v>
      </c>
      <c r="AO285" s="83">
        <f t="shared" si="53"/>
        <v>86661.378151260491</v>
      </c>
      <c r="AP285" s="182">
        <f t="shared" si="54"/>
        <v>197.13383656336131</v>
      </c>
      <c r="AQ285" s="182">
        <f t="shared" si="55"/>
        <v>295.70075484504201</v>
      </c>
      <c r="AR285" s="85"/>
      <c r="AS285" s="85"/>
      <c r="AT285" s="53"/>
      <c r="AU285" s="53"/>
      <c r="AV285" s="53"/>
      <c r="AW285" s="53"/>
      <c r="AX285" s="53"/>
      <c r="AY285" s="53"/>
      <c r="AZ285" s="53"/>
      <c r="BA285" s="53"/>
      <c r="BB285" s="53"/>
      <c r="BC285" s="111">
        <f t="shared" si="56"/>
        <v>57774.252100840327</v>
      </c>
      <c r="BD285" s="111">
        <f t="shared" si="57"/>
        <v>86661.378151260491</v>
      </c>
    </row>
    <row r="286" spans="1:56" ht="15.75" x14ac:dyDescent="0.25">
      <c r="A286" s="53">
        <v>276</v>
      </c>
      <c r="B286" s="53"/>
      <c r="C286" s="53"/>
      <c r="D286" s="53" t="s">
        <v>135</v>
      </c>
      <c r="E286" s="53"/>
      <c r="F286" s="53"/>
      <c r="G286" s="53" t="s">
        <v>290</v>
      </c>
      <c r="H286" s="53" t="s">
        <v>291</v>
      </c>
      <c r="I286" s="85" t="s">
        <v>726</v>
      </c>
      <c r="J286" s="85" t="s">
        <v>729</v>
      </c>
      <c r="K286" s="85" t="s">
        <v>721</v>
      </c>
      <c r="L286" s="53" t="s">
        <v>722</v>
      </c>
      <c r="M286" s="53" t="s">
        <v>723</v>
      </c>
      <c r="N286" s="53"/>
      <c r="O286" s="85" t="s">
        <v>724</v>
      </c>
      <c r="P286" s="53">
        <v>1</v>
      </c>
      <c r="Q286" s="183">
        <v>0</v>
      </c>
      <c r="R286" s="84"/>
      <c r="S286" s="53">
        <v>16.7</v>
      </c>
      <c r="T286" s="53"/>
      <c r="U286" s="163">
        <v>3</v>
      </c>
      <c r="V286" s="163">
        <v>480</v>
      </c>
      <c r="X286" s="53"/>
      <c r="Y286" s="53"/>
      <c r="Z286" s="53"/>
      <c r="AA286" s="53"/>
      <c r="AB286" s="53"/>
      <c r="AC286" s="137" t="s">
        <v>117</v>
      </c>
      <c r="AD286" s="138" t="s">
        <v>118</v>
      </c>
      <c r="AE286" s="83">
        <v>8760</v>
      </c>
      <c r="AF286" s="139">
        <v>1</v>
      </c>
      <c r="AG286" s="139">
        <f t="shared" si="58"/>
        <v>0.82191780821917804</v>
      </c>
      <c r="AH286" s="139">
        <v>0.25</v>
      </c>
      <c r="AI286" s="139">
        <v>0.25</v>
      </c>
      <c r="AJ286" s="83">
        <f t="shared" si="48"/>
        <v>2880</v>
      </c>
      <c r="AK286" s="83">
        <f t="shared" si="49"/>
        <v>4320</v>
      </c>
      <c r="AL286" s="104">
        <f t="shared" si="50"/>
        <v>3.1238351999999998</v>
      </c>
      <c r="AM286" s="104">
        <f t="shared" si="51"/>
        <v>3.1238351999999998</v>
      </c>
      <c r="AN286" s="83">
        <f t="shared" si="52"/>
        <v>8996.6453759999986</v>
      </c>
      <c r="AO286" s="83">
        <f t="shared" si="53"/>
        <v>13494.968063999999</v>
      </c>
      <c r="AP286" s="182">
        <f t="shared" si="54"/>
        <v>30.697813553264634</v>
      </c>
      <c r="AQ286" s="182">
        <f t="shared" si="55"/>
        <v>46.046720329896957</v>
      </c>
      <c r="AR286" s="85"/>
      <c r="AS286" s="85"/>
      <c r="AT286" s="53"/>
      <c r="AU286" s="53"/>
      <c r="AV286" s="53"/>
      <c r="AW286" s="53"/>
      <c r="AX286" s="53"/>
      <c r="AY286" s="53"/>
      <c r="AZ286" s="53"/>
      <c r="BA286" s="53"/>
      <c r="BB286" s="53"/>
      <c r="BC286" s="111">
        <f t="shared" si="56"/>
        <v>8996.6453759999986</v>
      </c>
      <c r="BD286" s="111">
        <f t="shared" si="57"/>
        <v>13494.968063999999</v>
      </c>
    </row>
    <row r="287" spans="1:56" ht="15.75" x14ac:dyDescent="0.25">
      <c r="A287" s="53">
        <v>277</v>
      </c>
      <c r="B287" s="53"/>
      <c r="C287" s="53"/>
      <c r="D287" s="53" t="s">
        <v>135</v>
      </c>
      <c r="E287" s="53"/>
      <c r="F287" s="53"/>
      <c r="G287" s="53" t="s">
        <v>290</v>
      </c>
      <c r="H287" s="53" t="s">
        <v>291</v>
      </c>
      <c r="I287" s="85" t="s">
        <v>726</v>
      </c>
      <c r="J287" s="85" t="s">
        <v>729</v>
      </c>
      <c r="K287" s="85" t="s">
        <v>721</v>
      </c>
      <c r="L287" s="53" t="s">
        <v>722</v>
      </c>
      <c r="M287" s="53" t="s">
        <v>723</v>
      </c>
      <c r="N287" s="53"/>
      <c r="O287" s="85" t="s">
        <v>724</v>
      </c>
      <c r="P287" s="53">
        <v>1</v>
      </c>
      <c r="Q287" s="183">
        <v>0</v>
      </c>
      <c r="R287" s="84"/>
      <c r="S287" s="53">
        <v>16.7</v>
      </c>
      <c r="T287" s="53"/>
      <c r="U287" s="163">
        <v>3</v>
      </c>
      <c r="V287" s="163">
        <v>480</v>
      </c>
      <c r="X287" s="53"/>
      <c r="Y287" s="53"/>
      <c r="Z287" s="53"/>
      <c r="AA287" s="53"/>
      <c r="AB287" s="53"/>
      <c r="AC287" s="137" t="s">
        <v>117</v>
      </c>
      <c r="AD287" s="138" t="s">
        <v>118</v>
      </c>
      <c r="AE287" s="83">
        <v>8760</v>
      </c>
      <c r="AF287" s="139">
        <v>1</v>
      </c>
      <c r="AG287" s="139">
        <f t="shared" si="58"/>
        <v>0.82191780821917804</v>
      </c>
      <c r="AH287" s="139">
        <v>0.25</v>
      </c>
      <c r="AI287" s="139">
        <v>0.25</v>
      </c>
      <c r="AJ287" s="83">
        <f t="shared" si="48"/>
        <v>2880</v>
      </c>
      <c r="AK287" s="83">
        <f t="shared" si="49"/>
        <v>4320</v>
      </c>
      <c r="AL287" s="104">
        <f t="shared" si="50"/>
        <v>3.1238351999999998</v>
      </c>
      <c r="AM287" s="104">
        <f t="shared" si="51"/>
        <v>3.1238351999999998</v>
      </c>
      <c r="AN287" s="83">
        <f t="shared" si="52"/>
        <v>8996.6453759999986</v>
      </c>
      <c r="AO287" s="83">
        <f t="shared" si="53"/>
        <v>13494.968063999999</v>
      </c>
      <c r="AP287" s="182">
        <f t="shared" si="54"/>
        <v>30.697813553264634</v>
      </c>
      <c r="AQ287" s="182">
        <f t="shared" si="55"/>
        <v>46.046720329896957</v>
      </c>
      <c r="AR287" s="85"/>
      <c r="AS287" s="85"/>
      <c r="AT287" s="53"/>
      <c r="AU287" s="53"/>
      <c r="AV287" s="53"/>
      <c r="AW287" s="53"/>
      <c r="AX287" s="53"/>
      <c r="AY287" s="53"/>
      <c r="AZ287" s="53"/>
      <c r="BA287" s="53"/>
      <c r="BB287" s="53"/>
      <c r="BC287" s="111">
        <f t="shared" si="56"/>
        <v>8996.6453759999986</v>
      </c>
      <c r="BD287" s="111">
        <f t="shared" si="57"/>
        <v>13494.968063999999</v>
      </c>
    </row>
    <row r="288" spans="1:56" ht="15.75" x14ac:dyDescent="0.25">
      <c r="A288" s="53">
        <v>278</v>
      </c>
      <c r="B288" s="53"/>
      <c r="C288" s="53"/>
      <c r="D288" s="53" t="s">
        <v>135</v>
      </c>
      <c r="E288" s="53"/>
      <c r="F288" s="53"/>
      <c r="G288" s="53" t="s">
        <v>290</v>
      </c>
      <c r="H288" s="53" t="s">
        <v>291</v>
      </c>
      <c r="I288" s="85" t="s">
        <v>545</v>
      </c>
      <c r="J288" s="85" t="s">
        <v>533</v>
      </c>
      <c r="K288" s="85" t="s">
        <v>448</v>
      </c>
      <c r="L288" s="53" t="s">
        <v>216</v>
      </c>
      <c r="M288" s="53" t="s">
        <v>252</v>
      </c>
      <c r="N288" s="53"/>
      <c r="O288" s="85" t="s">
        <v>135</v>
      </c>
      <c r="P288" s="53">
        <v>1</v>
      </c>
      <c r="Q288" s="183">
        <v>20</v>
      </c>
      <c r="R288" s="84">
        <v>0.89700000000000002</v>
      </c>
      <c r="S288" s="53">
        <v>27</v>
      </c>
      <c r="T288" s="53"/>
      <c r="U288" s="53">
        <v>3</v>
      </c>
      <c r="V288" s="53">
        <v>480</v>
      </c>
      <c r="X288" s="53"/>
      <c r="Y288" s="53"/>
      <c r="Z288" s="53"/>
      <c r="AA288" s="53"/>
      <c r="AB288" s="53"/>
      <c r="AC288" s="137" t="s">
        <v>124</v>
      </c>
      <c r="AD288" s="138" t="s">
        <v>118</v>
      </c>
      <c r="AE288" s="83">
        <v>8760</v>
      </c>
      <c r="AF288" s="139">
        <v>1</v>
      </c>
      <c r="AG288" s="139">
        <f t="shared" si="58"/>
        <v>0.82191780821917804</v>
      </c>
      <c r="AH288" s="139">
        <v>0.6</v>
      </c>
      <c r="AI288" s="139">
        <v>0.6</v>
      </c>
      <c r="AJ288" s="83">
        <f t="shared" si="48"/>
        <v>2880</v>
      </c>
      <c r="AK288" s="83">
        <f t="shared" si="49"/>
        <v>4320</v>
      </c>
      <c r="AL288" s="104">
        <f t="shared" si="50"/>
        <v>9.9799331103678917</v>
      </c>
      <c r="AM288" s="104">
        <f t="shared" si="51"/>
        <v>9.9799331103678917</v>
      </c>
      <c r="AN288" s="83">
        <f t="shared" si="52"/>
        <v>28742.207357859526</v>
      </c>
      <c r="AO288" s="83">
        <f t="shared" si="53"/>
        <v>43113.311036789295</v>
      </c>
      <c r="AP288" s="182">
        <f t="shared" si="54"/>
        <v>98.072435414046794</v>
      </c>
      <c r="AQ288" s="182">
        <f t="shared" si="55"/>
        <v>147.1086531210702</v>
      </c>
      <c r="AR288" s="85"/>
      <c r="AS288" s="85"/>
      <c r="AT288" s="53"/>
      <c r="AU288" s="53"/>
      <c r="AV288" s="53"/>
      <c r="AW288" s="53"/>
      <c r="AX288" s="53"/>
      <c r="AY288" s="53"/>
      <c r="AZ288" s="53"/>
      <c r="BA288" s="53"/>
      <c r="BB288" s="53"/>
      <c r="BC288" s="111">
        <f t="shared" si="56"/>
        <v>28742.207357859526</v>
      </c>
      <c r="BD288" s="111">
        <f t="shared" si="57"/>
        <v>43113.311036789295</v>
      </c>
    </row>
    <row r="289" spans="1:56" ht="15.75" x14ac:dyDescent="0.25">
      <c r="A289" s="53">
        <v>279</v>
      </c>
      <c r="B289" s="53"/>
      <c r="C289" s="53"/>
      <c r="D289" s="53" t="s">
        <v>135</v>
      </c>
      <c r="E289" s="53"/>
      <c r="F289" s="53"/>
      <c r="G289" s="53" t="s">
        <v>290</v>
      </c>
      <c r="H289" s="53" t="s">
        <v>291</v>
      </c>
      <c r="I289" s="85" t="s">
        <v>545</v>
      </c>
      <c r="J289" s="85" t="s">
        <v>535</v>
      </c>
      <c r="K289" s="85" t="s">
        <v>448</v>
      </c>
      <c r="L289" s="53" t="s">
        <v>216</v>
      </c>
      <c r="M289" s="53" t="s">
        <v>252</v>
      </c>
      <c r="N289" s="53"/>
      <c r="O289" s="85" t="s">
        <v>135</v>
      </c>
      <c r="P289" s="53">
        <v>1</v>
      </c>
      <c r="Q289" s="183">
        <v>20</v>
      </c>
      <c r="R289" s="84">
        <v>0.89700000000000002</v>
      </c>
      <c r="S289" s="53">
        <v>27</v>
      </c>
      <c r="T289" s="53"/>
      <c r="U289" s="53">
        <v>3</v>
      </c>
      <c r="V289" s="53">
        <v>480</v>
      </c>
      <c r="X289" s="53"/>
      <c r="Y289" s="53"/>
      <c r="Z289" s="53"/>
      <c r="AA289" s="53"/>
      <c r="AB289" s="53"/>
      <c r="AC289" s="137" t="s">
        <v>124</v>
      </c>
      <c r="AD289" s="138" t="s">
        <v>118</v>
      </c>
      <c r="AE289" s="83">
        <v>8760</v>
      </c>
      <c r="AF289" s="139">
        <v>1</v>
      </c>
      <c r="AG289" s="139">
        <f t="shared" si="58"/>
        <v>0.82191780821917804</v>
      </c>
      <c r="AH289" s="139">
        <v>0.6</v>
      </c>
      <c r="AI289" s="139">
        <v>0.6</v>
      </c>
      <c r="AJ289" s="83">
        <f t="shared" si="48"/>
        <v>2880</v>
      </c>
      <c r="AK289" s="83">
        <f t="shared" si="49"/>
        <v>4320</v>
      </c>
      <c r="AL289" s="104">
        <f t="shared" si="50"/>
        <v>9.9799331103678917</v>
      </c>
      <c r="AM289" s="104">
        <f t="shared" si="51"/>
        <v>9.9799331103678917</v>
      </c>
      <c r="AN289" s="83">
        <f t="shared" si="52"/>
        <v>28742.207357859526</v>
      </c>
      <c r="AO289" s="83">
        <f t="shared" si="53"/>
        <v>43113.311036789295</v>
      </c>
      <c r="AP289" s="182">
        <f t="shared" si="54"/>
        <v>98.072435414046794</v>
      </c>
      <c r="AQ289" s="182">
        <f t="shared" si="55"/>
        <v>147.1086531210702</v>
      </c>
      <c r="AR289" s="85"/>
      <c r="AS289" s="85"/>
      <c r="AT289" s="53"/>
      <c r="AU289" s="53"/>
      <c r="AV289" s="53"/>
      <c r="AW289" s="53"/>
      <c r="AX289" s="53"/>
      <c r="AY289" s="53"/>
      <c r="AZ289" s="53"/>
      <c r="BA289" s="53"/>
      <c r="BB289" s="53"/>
      <c r="BC289" s="111">
        <f t="shared" si="56"/>
        <v>28742.207357859526</v>
      </c>
      <c r="BD289" s="111">
        <f t="shared" si="57"/>
        <v>43113.311036789295</v>
      </c>
    </row>
    <row r="290" spans="1:56" ht="15.75" x14ac:dyDescent="0.25">
      <c r="A290" s="53">
        <v>280</v>
      </c>
      <c r="B290" s="53"/>
      <c r="C290" s="53"/>
      <c r="D290" s="53" t="s">
        <v>135</v>
      </c>
      <c r="E290" s="53"/>
      <c r="F290" s="53"/>
      <c r="G290" s="53" t="s">
        <v>290</v>
      </c>
      <c r="H290" s="53" t="s">
        <v>291</v>
      </c>
      <c r="I290" s="85" t="s">
        <v>545</v>
      </c>
      <c r="J290" s="85" t="s">
        <v>848</v>
      </c>
      <c r="K290" s="85" t="s">
        <v>448</v>
      </c>
      <c r="L290" s="53" t="s">
        <v>216</v>
      </c>
      <c r="M290" s="53" t="s">
        <v>252</v>
      </c>
      <c r="N290" s="53"/>
      <c r="O290" s="85" t="s">
        <v>135</v>
      </c>
      <c r="P290" s="53">
        <v>1</v>
      </c>
      <c r="Q290" s="183">
        <v>2</v>
      </c>
      <c r="R290" s="84">
        <v>0.87050000000000005</v>
      </c>
      <c r="S290" s="53">
        <v>3.4</v>
      </c>
      <c r="T290" s="53"/>
      <c r="U290" s="53">
        <v>3</v>
      </c>
      <c r="V290" s="53">
        <v>480</v>
      </c>
      <c r="X290" s="53"/>
      <c r="Y290" s="53"/>
      <c r="Z290" s="53"/>
      <c r="AA290" s="53"/>
      <c r="AB290" s="53"/>
      <c r="AC290" s="137" t="s">
        <v>124</v>
      </c>
      <c r="AD290" s="138" t="s">
        <v>118</v>
      </c>
      <c r="AE290" s="83">
        <v>8760</v>
      </c>
      <c r="AF290" s="139">
        <v>1</v>
      </c>
      <c r="AG290" s="139">
        <f t="shared" si="58"/>
        <v>0.82191780821917804</v>
      </c>
      <c r="AH290" s="139">
        <v>0.6</v>
      </c>
      <c r="AI290" s="139">
        <v>0.6</v>
      </c>
      <c r="AJ290" s="83">
        <f t="shared" si="48"/>
        <v>2880</v>
      </c>
      <c r="AK290" s="83">
        <f t="shared" si="49"/>
        <v>4320</v>
      </c>
      <c r="AL290" s="104">
        <f t="shared" si="50"/>
        <v>1.0283744974152784</v>
      </c>
      <c r="AM290" s="104">
        <f t="shared" si="51"/>
        <v>1.0283744974152784</v>
      </c>
      <c r="AN290" s="83">
        <f t="shared" si="52"/>
        <v>2961.7185525560017</v>
      </c>
      <c r="AO290" s="83">
        <f t="shared" si="53"/>
        <v>4442.5778288340025</v>
      </c>
      <c r="AP290" s="182">
        <f t="shared" si="54"/>
        <v>10.105798341918435</v>
      </c>
      <c r="AQ290" s="182">
        <f t="shared" si="55"/>
        <v>15.158697512877652</v>
      </c>
      <c r="AR290" s="85"/>
      <c r="AS290" s="85"/>
      <c r="AT290" s="53"/>
      <c r="AU290" s="53"/>
      <c r="AV290" s="53"/>
      <c r="AW290" s="53"/>
      <c r="AX290" s="53"/>
      <c r="AY290" s="53"/>
      <c r="AZ290" s="53"/>
      <c r="BA290" s="53"/>
      <c r="BB290" s="53"/>
      <c r="BC290" s="111">
        <f t="shared" si="56"/>
        <v>2961.7185525560017</v>
      </c>
      <c r="BD290" s="111">
        <f t="shared" si="57"/>
        <v>4442.5778288340025</v>
      </c>
    </row>
    <row r="291" spans="1:56" ht="15.75" x14ac:dyDescent="0.25">
      <c r="A291" s="53">
        <v>281</v>
      </c>
      <c r="B291" s="53"/>
      <c r="C291" s="53"/>
      <c r="D291" s="53" t="s">
        <v>135</v>
      </c>
      <c r="E291" s="53"/>
      <c r="F291" s="53"/>
      <c r="G291" s="53" t="s">
        <v>290</v>
      </c>
      <c r="H291" s="53" t="s">
        <v>291</v>
      </c>
      <c r="I291" s="85" t="s">
        <v>435</v>
      </c>
      <c r="J291" s="85" t="s">
        <v>436</v>
      </c>
      <c r="K291" s="85" t="s">
        <v>365</v>
      </c>
      <c r="L291" s="53" t="s">
        <v>216</v>
      </c>
      <c r="M291" s="53" t="s">
        <v>295</v>
      </c>
      <c r="N291" s="53"/>
      <c r="O291" s="85" t="s">
        <v>437</v>
      </c>
      <c r="P291" s="53">
        <v>1</v>
      </c>
      <c r="Q291" s="183">
        <v>40</v>
      </c>
      <c r="R291" s="84">
        <v>0.89250000000000007</v>
      </c>
      <c r="S291" s="53">
        <v>49</v>
      </c>
      <c r="T291" s="53"/>
      <c r="U291" s="53">
        <v>3</v>
      </c>
      <c r="V291" s="53">
        <v>480</v>
      </c>
      <c r="X291" s="53"/>
      <c r="Y291" s="53"/>
      <c r="Z291" s="53"/>
      <c r="AA291" s="53"/>
      <c r="AB291" s="53"/>
      <c r="AC291" s="137" t="s">
        <v>124</v>
      </c>
      <c r="AD291" s="138" t="s">
        <v>118</v>
      </c>
      <c r="AE291" s="83">
        <v>8760</v>
      </c>
      <c r="AF291" s="139">
        <v>1</v>
      </c>
      <c r="AG291" s="139">
        <f t="shared" si="58"/>
        <v>0.82191780821917804</v>
      </c>
      <c r="AH291" s="139">
        <v>0.6</v>
      </c>
      <c r="AI291" s="139">
        <v>0.6</v>
      </c>
      <c r="AJ291" s="83">
        <f t="shared" si="48"/>
        <v>2880</v>
      </c>
      <c r="AK291" s="83">
        <f t="shared" si="49"/>
        <v>4320</v>
      </c>
      <c r="AL291" s="104">
        <f t="shared" si="50"/>
        <v>20.060504201680669</v>
      </c>
      <c r="AM291" s="104">
        <f t="shared" si="51"/>
        <v>20.060504201680669</v>
      </c>
      <c r="AN291" s="83">
        <f t="shared" si="52"/>
        <v>57774.252100840327</v>
      </c>
      <c r="AO291" s="83">
        <f t="shared" si="53"/>
        <v>86661.378151260491</v>
      </c>
      <c r="AP291" s="182">
        <f t="shared" si="54"/>
        <v>197.13383656336131</v>
      </c>
      <c r="AQ291" s="182">
        <f t="shared" si="55"/>
        <v>295.70075484504201</v>
      </c>
      <c r="AR291" s="85"/>
      <c r="AS291" s="85"/>
      <c r="AT291" s="53"/>
      <c r="AU291" s="53"/>
      <c r="AV291" s="53"/>
      <c r="AW291" s="53"/>
      <c r="AX291" s="53"/>
      <c r="AY291" s="53"/>
      <c r="AZ291" s="53"/>
      <c r="BA291" s="53"/>
      <c r="BB291" s="53"/>
      <c r="BC291" s="111">
        <f t="shared" si="56"/>
        <v>57774.252100840327</v>
      </c>
      <c r="BD291" s="111">
        <f t="shared" si="57"/>
        <v>86661.378151260491</v>
      </c>
    </row>
    <row r="292" spans="1:56" ht="15.75" x14ac:dyDescent="0.25">
      <c r="A292" s="53">
        <v>282</v>
      </c>
      <c r="B292" s="53"/>
      <c r="C292" s="53"/>
      <c r="D292" s="53" t="s">
        <v>135</v>
      </c>
      <c r="E292" s="53"/>
      <c r="F292" s="53"/>
      <c r="G292" s="53" t="s">
        <v>290</v>
      </c>
      <c r="H292" s="53" t="s">
        <v>291</v>
      </c>
      <c r="I292" s="85" t="s">
        <v>435</v>
      </c>
      <c r="J292" s="85" t="s">
        <v>436</v>
      </c>
      <c r="K292" s="85" t="s">
        <v>365</v>
      </c>
      <c r="L292" s="53" t="s">
        <v>216</v>
      </c>
      <c r="M292" s="53" t="s">
        <v>295</v>
      </c>
      <c r="N292" s="53"/>
      <c r="O292" s="85" t="s">
        <v>438</v>
      </c>
      <c r="P292" s="53">
        <v>1</v>
      </c>
      <c r="Q292" s="183">
        <v>40</v>
      </c>
      <c r="R292" s="84">
        <v>0.89250000000000007</v>
      </c>
      <c r="S292" s="53">
        <v>49</v>
      </c>
      <c r="T292" s="53"/>
      <c r="U292" s="53">
        <v>3</v>
      </c>
      <c r="V292" s="53">
        <v>480</v>
      </c>
      <c r="X292" s="53"/>
      <c r="Y292" s="53"/>
      <c r="Z292" s="53"/>
      <c r="AA292" s="53"/>
      <c r="AB292" s="53"/>
      <c r="AC292" s="137" t="s">
        <v>124</v>
      </c>
      <c r="AD292" s="138" t="s">
        <v>118</v>
      </c>
      <c r="AE292" s="83">
        <v>8760</v>
      </c>
      <c r="AF292" s="139">
        <v>1</v>
      </c>
      <c r="AG292" s="139">
        <f t="shared" si="58"/>
        <v>0.82191780821917804</v>
      </c>
      <c r="AH292" s="139">
        <v>0.6</v>
      </c>
      <c r="AI292" s="139">
        <v>0.6</v>
      </c>
      <c r="AJ292" s="83">
        <f t="shared" si="48"/>
        <v>2880</v>
      </c>
      <c r="AK292" s="83">
        <f t="shared" si="49"/>
        <v>4320</v>
      </c>
      <c r="AL292" s="104">
        <f t="shared" si="50"/>
        <v>20.060504201680669</v>
      </c>
      <c r="AM292" s="104">
        <f t="shared" si="51"/>
        <v>20.060504201680669</v>
      </c>
      <c r="AN292" s="83">
        <f t="shared" si="52"/>
        <v>57774.252100840327</v>
      </c>
      <c r="AO292" s="83">
        <f t="shared" si="53"/>
        <v>86661.378151260491</v>
      </c>
      <c r="AP292" s="182">
        <f t="shared" si="54"/>
        <v>197.13383656336131</v>
      </c>
      <c r="AQ292" s="182">
        <f t="shared" si="55"/>
        <v>295.70075484504201</v>
      </c>
      <c r="AR292" s="85"/>
      <c r="AS292" s="85"/>
      <c r="AT292" s="53"/>
      <c r="AU292" s="53"/>
      <c r="AV292" s="53"/>
      <c r="AW292" s="53"/>
      <c r="AX292" s="53"/>
      <c r="AY292" s="53"/>
      <c r="AZ292" s="53"/>
      <c r="BA292" s="53"/>
      <c r="BB292" s="53"/>
      <c r="BC292" s="111">
        <f t="shared" si="56"/>
        <v>57774.252100840327</v>
      </c>
      <c r="BD292" s="111">
        <f t="shared" si="57"/>
        <v>86661.378151260491</v>
      </c>
    </row>
    <row r="293" spans="1:56" ht="21" customHeight="1" x14ac:dyDescent="0.25">
      <c r="A293" s="53">
        <v>283</v>
      </c>
      <c r="B293" s="53"/>
      <c r="C293" s="53"/>
      <c r="D293" s="53" t="s">
        <v>135</v>
      </c>
      <c r="E293" s="53"/>
      <c r="F293" s="53"/>
      <c r="G293" s="53" t="s">
        <v>290</v>
      </c>
      <c r="H293" s="53" t="s">
        <v>291</v>
      </c>
      <c r="I293" s="85" t="s">
        <v>435</v>
      </c>
      <c r="J293" s="85" t="s">
        <v>436</v>
      </c>
      <c r="K293" s="85" t="s">
        <v>365</v>
      </c>
      <c r="L293" s="53" t="s">
        <v>216</v>
      </c>
      <c r="M293" s="53" t="s">
        <v>295</v>
      </c>
      <c r="N293" s="53"/>
      <c r="O293" s="85" t="s">
        <v>439</v>
      </c>
      <c r="P293" s="53">
        <v>1</v>
      </c>
      <c r="Q293" s="183">
        <v>40</v>
      </c>
      <c r="R293" s="84">
        <v>0.89250000000000007</v>
      </c>
      <c r="S293" s="53">
        <v>49</v>
      </c>
      <c r="T293" s="53"/>
      <c r="U293" s="53">
        <v>3</v>
      </c>
      <c r="V293" s="53">
        <v>480</v>
      </c>
      <c r="X293" s="53"/>
      <c r="Y293" s="53"/>
      <c r="Z293" s="53"/>
      <c r="AA293" s="53"/>
      <c r="AB293" s="53"/>
      <c r="AC293" s="137" t="s">
        <v>124</v>
      </c>
      <c r="AD293" s="138" t="s">
        <v>118</v>
      </c>
      <c r="AE293" s="83">
        <v>8760</v>
      </c>
      <c r="AF293" s="139">
        <v>1</v>
      </c>
      <c r="AG293" s="139">
        <f t="shared" si="58"/>
        <v>0.82191780821917804</v>
      </c>
      <c r="AH293" s="139">
        <v>0.6</v>
      </c>
      <c r="AI293" s="139">
        <v>0.6</v>
      </c>
      <c r="AJ293" s="83">
        <f t="shared" si="48"/>
        <v>2880</v>
      </c>
      <c r="AK293" s="83">
        <f t="shared" si="49"/>
        <v>4320</v>
      </c>
      <c r="AL293" s="104">
        <f t="shared" si="50"/>
        <v>20.060504201680669</v>
      </c>
      <c r="AM293" s="104">
        <f t="shared" si="51"/>
        <v>20.060504201680669</v>
      </c>
      <c r="AN293" s="83">
        <f t="shared" si="52"/>
        <v>57774.252100840327</v>
      </c>
      <c r="AO293" s="83">
        <f t="shared" si="53"/>
        <v>86661.378151260491</v>
      </c>
      <c r="AP293" s="182">
        <f t="shared" si="54"/>
        <v>197.13383656336131</v>
      </c>
      <c r="AQ293" s="182">
        <f t="shared" si="55"/>
        <v>295.70075484504201</v>
      </c>
      <c r="AR293" s="85"/>
      <c r="AS293" s="85"/>
      <c r="AT293" s="53"/>
      <c r="AU293" s="53"/>
      <c r="AV293" s="53"/>
      <c r="AW293" s="53"/>
      <c r="AX293" s="53"/>
      <c r="AY293" s="53"/>
      <c r="AZ293" s="53"/>
      <c r="BA293" s="53"/>
      <c r="BB293" s="53"/>
      <c r="BC293" s="111">
        <f t="shared" si="56"/>
        <v>57774.252100840327</v>
      </c>
      <c r="BD293" s="111">
        <f t="shared" si="57"/>
        <v>86661.378151260491</v>
      </c>
    </row>
    <row r="294" spans="1:56" ht="21" customHeight="1" x14ac:dyDescent="0.25">
      <c r="A294" s="53">
        <v>284</v>
      </c>
      <c r="B294" s="53"/>
      <c r="C294" s="53"/>
      <c r="D294" s="53" t="s">
        <v>135</v>
      </c>
      <c r="E294" s="53"/>
      <c r="F294" s="53"/>
      <c r="G294" s="53" t="s">
        <v>290</v>
      </c>
      <c r="H294" s="53" t="s">
        <v>291</v>
      </c>
      <c r="I294" s="85" t="s">
        <v>435</v>
      </c>
      <c r="J294" s="85" t="s">
        <v>436</v>
      </c>
      <c r="K294" s="85" t="s">
        <v>365</v>
      </c>
      <c r="L294" s="53" t="s">
        <v>216</v>
      </c>
      <c r="M294" s="53" t="s">
        <v>295</v>
      </c>
      <c r="N294" s="53"/>
      <c r="O294" s="85" t="s">
        <v>440</v>
      </c>
      <c r="P294" s="53">
        <v>1</v>
      </c>
      <c r="Q294" s="183">
        <v>40</v>
      </c>
      <c r="R294" s="84">
        <v>0.89250000000000007</v>
      </c>
      <c r="S294" s="53">
        <v>49</v>
      </c>
      <c r="T294" s="53"/>
      <c r="U294" s="53">
        <v>3</v>
      </c>
      <c r="V294" s="53">
        <v>480</v>
      </c>
      <c r="X294" s="53"/>
      <c r="Y294" s="53"/>
      <c r="Z294" s="53"/>
      <c r="AA294" s="53"/>
      <c r="AB294" s="53"/>
      <c r="AC294" s="137" t="s">
        <v>124</v>
      </c>
      <c r="AD294" s="138" t="s">
        <v>118</v>
      </c>
      <c r="AE294" s="83">
        <v>8760</v>
      </c>
      <c r="AF294" s="139">
        <v>1</v>
      </c>
      <c r="AG294" s="139">
        <f t="shared" si="58"/>
        <v>0.82191780821917804</v>
      </c>
      <c r="AH294" s="139">
        <v>0.6</v>
      </c>
      <c r="AI294" s="139">
        <v>0.6</v>
      </c>
      <c r="AJ294" s="83">
        <f t="shared" si="48"/>
        <v>2880</v>
      </c>
      <c r="AK294" s="83">
        <f t="shared" si="49"/>
        <v>4320</v>
      </c>
      <c r="AL294" s="104">
        <f t="shared" si="50"/>
        <v>20.060504201680669</v>
      </c>
      <c r="AM294" s="104">
        <f t="shared" si="51"/>
        <v>20.060504201680669</v>
      </c>
      <c r="AN294" s="83">
        <f t="shared" si="52"/>
        <v>57774.252100840327</v>
      </c>
      <c r="AO294" s="83">
        <f t="shared" si="53"/>
        <v>86661.378151260491</v>
      </c>
      <c r="AP294" s="182">
        <f t="shared" si="54"/>
        <v>197.13383656336131</v>
      </c>
      <c r="AQ294" s="182">
        <f t="shared" si="55"/>
        <v>295.70075484504201</v>
      </c>
      <c r="AR294" s="85"/>
      <c r="AS294" s="85"/>
      <c r="AT294" s="53"/>
      <c r="AU294" s="53"/>
      <c r="AV294" s="53"/>
      <c r="AW294" s="53"/>
      <c r="AX294" s="53"/>
      <c r="AY294" s="53"/>
      <c r="AZ294" s="53"/>
      <c r="BA294" s="53"/>
      <c r="BB294" s="53"/>
      <c r="BC294" s="111">
        <f t="shared" si="56"/>
        <v>57774.252100840327</v>
      </c>
      <c r="BD294" s="111">
        <f t="shared" si="57"/>
        <v>86661.378151260491</v>
      </c>
    </row>
    <row r="295" spans="1:56" ht="21" customHeight="1" x14ac:dyDescent="0.25">
      <c r="A295" s="53">
        <v>285</v>
      </c>
      <c r="B295" s="53"/>
      <c r="C295" s="53"/>
      <c r="D295" s="53" t="s">
        <v>135</v>
      </c>
      <c r="E295" s="53"/>
      <c r="F295" s="53"/>
      <c r="G295" s="53" t="s">
        <v>290</v>
      </c>
      <c r="H295" s="53" t="s">
        <v>291</v>
      </c>
      <c r="I295" s="85" t="s">
        <v>327</v>
      </c>
      <c r="J295" s="85" t="s">
        <v>328</v>
      </c>
      <c r="K295" s="85" t="s">
        <v>312</v>
      </c>
      <c r="L295" s="53" t="s">
        <v>216</v>
      </c>
      <c r="M295" s="53" t="s">
        <v>295</v>
      </c>
      <c r="N295" s="53"/>
      <c r="O295" s="85" t="s">
        <v>135</v>
      </c>
      <c r="P295" s="53">
        <v>1</v>
      </c>
      <c r="Q295" s="183">
        <v>60</v>
      </c>
      <c r="R295" s="84">
        <v>0.91300000000000003</v>
      </c>
      <c r="S295" s="53">
        <v>72</v>
      </c>
      <c r="T295" s="53"/>
      <c r="U295" s="53">
        <v>3</v>
      </c>
      <c r="V295" s="53">
        <v>480</v>
      </c>
      <c r="W295" s="53"/>
      <c r="X295" s="53"/>
      <c r="Y295" s="53"/>
      <c r="Z295" s="53"/>
      <c r="AA295" s="53"/>
      <c r="AB295" s="53"/>
      <c r="AC295" s="137" t="s">
        <v>124</v>
      </c>
      <c r="AD295" s="138" t="s">
        <v>118</v>
      </c>
      <c r="AE295" s="83">
        <v>8760</v>
      </c>
      <c r="AF295" s="139">
        <v>1</v>
      </c>
      <c r="AG295" s="139">
        <f t="shared" si="58"/>
        <v>0.82191780821917804</v>
      </c>
      <c r="AH295" s="139">
        <v>0.75</v>
      </c>
      <c r="AI295" s="139">
        <v>0.75</v>
      </c>
      <c r="AJ295" s="83">
        <f t="shared" si="48"/>
        <v>2880</v>
      </c>
      <c r="AK295" s="83">
        <f t="shared" si="49"/>
        <v>4320</v>
      </c>
      <c r="AL295" s="104">
        <f t="shared" si="50"/>
        <v>36.768893756845564</v>
      </c>
      <c r="AM295" s="104">
        <f t="shared" si="51"/>
        <v>36.768893756845564</v>
      </c>
      <c r="AN295" s="83">
        <f t="shared" si="52"/>
        <v>105894.41401971523</v>
      </c>
      <c r="AO295" s="83">
        <f t="shared" si="53"/>
        <v>158841.62102957282</v>
      </c>
      <c r="AP295" s="182">
        <f t="shared" si="54"/>
        <v>361.32656585323116</v>
      </c>
      <c r="AQ295" s="182">
        <f t="shared" si="55"/>
        <v>541.98984877984651</v>
      </c>
      <c r="AR295" s="85"/>
      <c r="AS295" s="85"/>
      <c r="AT295" s="53"/>
      <c r="AU295" s="53"/>
      <c r="AV295" s="53"/>
      <c r="AW295" s="53"/>
      <c r="AX295" s="53"/>
      <c r="AY295" s="53"/>
      <c r="AZ295" s="53"/>
      <c r="BA295" s="53"/>
      <c r="BB295" s="53"/>
      <c r="BC295" s="111">
        <f t="shared" si="56"/>
        <v>105894.41401971523</v>
      </c>
      <c r="BD295" s="111">
        <f t="shared" si="57"/>
        <v>158841.62102957282</v>
      </c>
    </row>
    <row r="296" spans="1:56" ht="21" customHeight="1" x14ac:dyDescent="0.25">
      <c r="A296" s="53">
        <v>286</v>
      </c>
      <c r="B296" s="53"/>
      <c r="C296" s="53"/>
      <c r="D296" s="53" t="s">
        <v>135</v>
      </c>
      <c r="E296" s="53"/>
      <c r="F296" s="53"/>
      <c r="G296" s="53" t="s">
        <v>290</v>
      </c>
      <c r="H296" s="53" t="s">
        <v>291</v>
      </c>
      <c r="I296" s="85" t="s">
        <v>327</v>
      </c>
      <c r="J296" s="85" t="s">
        <v>328</v>
      </c>
      <c r="K296" s="85" t="s">
        <v>311</v>
      </c>
      <c r="L296" s="53" t="s">
        <v>216</v>
      </c>
      <c r="M296" s="53" t="s">
        <v>295</v>
      </c>
      <c r="N296" s="53"/>
      <c r="O296" s="85" t="s">
        <v>135</v>
      </c>
      <c r="P296" s="53">
        <v>1</v>
      </c>
      <c r="Q296" s="183">
        <v>60</v>
      </c>
      <c r="R296" s="84">
        <v>0.91300000000000003</v>
      </c>
      <c r="S296" s="53">
        <v>72</v>
      </c>
      <c r="T296" s="53"/>
      <c r="U296" s="53">
        <v>3</v>
      </c>
      <c r="V296" s="53">
        <v>480</v>
      </c>
      <c r="W296" s="53"/>
      <c r="X296" s="53"/>
      <c r="Y296" s="53"/>
      <c r="Z296" s="53"/>
      <c r="AA296" s="53"/>
      <c r="AB296" s="53"/>
      <c r="AC296" s="137" t="s">
        <v>124</v>
      </c>
      <c r="AD296" s="138" t="s">
        <v>118</v>
      </c>
      <c r="AE296" s="83">
        <v>8760</v>
      </c>
      <c r="AF296" s="139">
        <v>1</v>
      </c>
      <c r="AG296" s="139">
        <f t="shared" si="58"/>
        <v>0.82191780821917804</v>
      </c>
      <c r="AH296" s="139">
        <v>0.75</v>
      </c>
      <c r="AI296" s="139">
        <v>0.75</v>
      </c>
      <c r="AJ296" s="83">
        <f t="shared" si="48"/>
        <v>2880</v>
      </c>
      <c r="AK296" s="83">
        <f t="shared" si="49"/>
        <v>4320</v>
      </c>
      <c r="AL296" s="104">
        <f t="shared" si="50"/>
        <v>36.768893756845564</v>
      </c>
      <c r="AM296" s="104">
        <f t="shared" si="51"/>
        <v>36.768893756845564</v>
      </c>
      <c r="AN296" s="83">
        <f t="shared" si="52"/>
        <v>105894.41401971523</v>
      </c>
      <c r="AO296" s="83">
        <f t="shared" si="53"/>
        <v>158841.62102957282</v>
      </c>
      <c r="AP296" s="182">
        <f t="shared" si="54"/>
        <v>361.32656585323116</v>
      </c>
      <c r="AQ296" s="182">
        <f t="shared" si="55"/>
        <v>541.98984877984651</v>
      </c>
      <c r="AR296" s="85"/>
      <c r="AS296" s="85"/>
      <c r="AT296" s="53"/>
      <c r="AU296" s="53"/>
      <c r="AV296" s="53"/>
      <c r="AW296" s="53"/>
      <c r="AX296" s="53"/>
      <c r="AY296" s="53"/>
      <c r="AZ296" s="53"/>
      <c r="BA296" s="53"/>
      <c r="BB296" s="53"/>
      <c r="BC296" s="111">
        <f t="shared" si="56"/>
        <v>105894.41401971523</v>
      </c>
      <c r="BD296" s="111">
        <f t="shared" si="57"/>
        <v>158841.62102957282</v>
      </c>
    </row>
    <row r="297" spans="1:56" ht="15.75" x14ac:dyDescent="0.25">
      <c r="A297" s="53">
        <v>287</v>
      </c>
      <c r="B297" s="53"/>
      <c r="C297" s="53"/>
      <c r="D297" s="53" t="s">
        <v>135</v>
      </c>
      <c r="E297" s="53"/>
      <c r="F297" s="53"/>
      <c r="G297" s="53" t="s">
        <v>290</v>
      </c>
      <c r="H297" s="53" t="s">
        <v>291</v>
      </c>
      <c r="I297" s="85" t="s">
        <v>327</v>
      </c>
      <c r="J297" s="85" t="s">
        <v>328</v>
      </c>
      <c r="K297" s="85" t="s">
        <v>329</v>
      </c>
      <c r="L297" s="53" t="s">
        <v>216</v>
      </c>
      <c r="M297" s="53" t="s">
        <v>295</v>
      </c>
      <c r="N297" s="53"/>
      <c r="O297" s="85" t="s">
        <v>135</v>
      </c>
      <c r="P297" s="53">
        <v>1</v>
      </c>
      <c r="Q297" s="183">
        <v>60</v>
      </c>
      <c r="R297" s="84">
        <v>0.91300000000000003</v>
      </c>
      <c r="S297" s="53">
        <v>72</v>
      </c>
      <c r="T297" s="53"/>
      <c r="U297" s="53">
        <v>3</v>
      </c>
      <c r="V297" s="53">
        <v>480</v>
      </c>
      <c r="W297" s="53"/>
      <c r="X297" s="53"/>
      <c r="Y297" s="53"/>
      <c r="Z297" s="53"/>
      <c r="AA297" s="53"/>
      <c r="AB297" s="53"/>
      <c r="AC297" s="137" t="s">
        <v>124</v>
      </c>
      <c r="AD297" s="138" t="s">
        <v>118</v>
      </c>
      <c r="AE297" s="83">
        <v>8760</v>
      </c>
      <c r="AF297" s="139">
        <v>1</v>
      </c>
      <c r="AG297" s="139">
        <f t="shared" si="58"/>
        <v>0.82191780821917804</v>
      </c>
      <c r="AH297" s="139">
        <v>0.75</v>
      </c>
      <c r="AI297" s="139">
        <v>0.75</v>
      </c>
      <c r="AJ297" s="83">
        <f t="shared" si="48"/>
        <v>2880</v>
      </c>
      <c r="AK297" s="83">
        <f t="shared" si="49"/>
        <v>4320</v>
      </c>
      <c r="AL297" s="104">
        <f t="shared" si="50"/>
        <v>36.768893756845564</v>
      </c>
      <c r="AM297" s="104">
        <f t="shared" si="51"/>
        <v>36.768893756845564</v>
      </c>
      <c r="AN297" s="83">
        <f t="shared" si="52"/>
        <v>105894.41401971523</v>
      </c>
      <c r="AO297" s="83">
        <f t="shared" si="53"/>
        <v>158841.62102957282</v>
      </c>
      <c r="AP297" s="182">
        <f t="shared" si="54"/>
        <v>361.32656585323116</v>
      </c>
      <c r="AQ297" s="182">
        <f t="shared" si="55"/>
        <v>541.98984877984651</v>
      </c>
      <c r="AR297" s="85"/>
      <c r="AS297" s="85"/>
      <c r="AT297" s="53"/>
      <c r="AU297" s="53"/>
      <c r="AV297" s="53"/>
      <c r="AW297" s="53"/>
      <c r="AX297" s="53"/>
      <c r="AY297" s="53"/>
      <c r="AZ297" s="53"/>
      <c r="BA297" s="53"/>
      <c r="BB297" s="53"/>
      <c r="BC297" s="111">
        <f t="shared" si="56"/>
        <v>105894.41401971523</v>
      </c>
      <c r="BD297" s="111">
        <f t="shared" si="57"/>
        <v>158841.62102957282</v>
      </c>
    </row>
    <row r="298" spans="1:56" ht="15.75" x14ac:dyDescent="0.25">
      <c r="A298" s="53">
        <v>288</v>
      </c>
      <c r="B298" s="53"/>
      <c r="C298" s="53"/>
      <c r="D298" s="53" t="s">
        <v>135</v>
      </c>
      <c r="E298" s="53"/>
      <c r="F298" s="53"/>
      <c r="G298" s="53" t="s">
        <v>290</v>
      </c>
      <c r="H298" s="53" t="s">
        <v>291</v>
      </c>
      <c r="I298" s="85" t="s">
        <v>546</v>
      </c>
      <c r="J298" s="85" t="s">
        <v>533</v>
      </c>
      <c r="K298" s="85" t="s">
        <v>448</v>
      </c>
      <c r="L298" s="53" t="s">
        <v>216</v>
      </c>
      <c r="M298" s="53" t="s">
        <v>252</v>
      </c>
      <c r="N298" s="53"/>
      <c r="O298" s="85" t="s">
        <v>135</v>
      </c>
      <c r="P298" s="53">
        <v>1</v>
      </c>
      <c r="Q298" s="183">
        <v>20</v>
      </c>
      <c r="R298" s="84">
        <v>0.89700000000000002</v>
      </c>
      <c r="S298" s="53">
        <v>27</v>
      </c>
      <c r="T298" s="53"/>
      <c r="U298" s="53">
        <v>3</v>
      </c>
      <c r="V298" s="53">
        <v>480</v>
      </c>
      <c r="W298" s="53"/>
      <c r="X298" s="53"/>
      <c r="Y298" s="53"/>
      <c r="Z298" s="53"/>
      <c r="AA298" s="53"/>
      <c r="AB298" s="53"/>
      <c r="AC298" s="137" t="s">
        <v>124</v>
      </c>
      <c r="AD298" s="138" t="s">
        <v>118</v>
      </c>
      <c r="AE298" s="83">
        <v>8760</v>
      </c>
      <c r="AF298" s="139">
        <v>1</v>
      </c>
      <c r="AG298" s="139">
        <f t="shared" si="58"/>
        <v>0.82191780821917804</v>
      </c>
      <c r="AH298" s="139">
        <v>0.6</v>
      </c>
      <c r="AI298" s="139">
        <v>0.6</v>
      </c>
      <c r="AJ298" s="83">
        <f t="shared" si="48"/>
        <v>2880</v>
      </c>
      <c r="AK298" s="83">
        <f t="shared" si="49"/>
        <v>4320</v>
      </c>
      <c r="AL298" s="104">
        <f t="shared" si="50"/>
        <v>9.9799331103678917</v>
      </c>
      <c r="AM298" s="104">
        <f t="shared" si="51"/>
        <v>9.9799331103678917</v>
      </c>
      <c r="AN298" s="83">
        <f t="shared" si="52"/>
        <v>28742.207357859526</v>
      </c>
      <c r="AO298" s="83">
        <f t="shared" si="53"/>
        <v>43113.311036789295</v>
      </c>
      <c r="AP298" s="182">
        <f t="shared" si="54"/>
        <v>98.072435414046794</v>
      </c>
      <c r="AQ298" s="182">
        <f t="shared" si="55"/>
        <v>147.1086531210702</v>
      </c>
      <c r="AR298" s="85"/>
      <c r="AS298" s="85"/>
      <c r="AT298" s="53"/>
      <c r="AU298" s="53"/>
      <c r="AV298" s="53"/>
      <c r="AW298" s="53"/>
      <c r="AX298" s="53"/>
      <c r="AY298" s="53"/>
      <c r="AZ298" s="53"/>
      <c r="BA298" s="53"/>
      <c r="BB298" s="53"/>
      <c r="BC298" s="111">
        <f t="shared" si="56"/>
        <v>28742.207357859526</v>
      </c>
      <c r="BD298" s="111">
        <f t="shared" si="57"/>
        <v>43113.311036789295</v>
      </c>
    </row>
    <row r="299" spans="1:56" ht="15.75" x14ac:dyDescent="0.25">
      <c r="A299" s="53">
        <v>289</v>
      </c>
      <c r="B299" s="53"/>
      <c r="C299" s="53"/>
      <c r="D299" s="53" t="s">
        <v>135</v>
      </c>
      <c r="E299" s="53"/>
      <c r="F299" s="53"/>
      <c r="G299" s="53" t="s">
        <v>290</v>
      </c>
      <c r="H299" s="53" t="s">
        <v>291</v>
      </c>
      <c r="I299" s="85" t="s">
        <v>546</v>
      </c>
      <c r="J299" s="85" t="s">
        <v>535</v>
      </c>
      <c r="K299" s="85" t="s">
        <v>448</v>
      </c>
      <c r="L299" s="53" t="s">
        <v>216</v>
      </c>
      <c r="M299" s="53" t="s">
        <v>252</v>
      </c>
      <c r="N299" s="53"/>
      <c r="O299" s="85" t="s">
        <v>135</v>
      </c>
      <c r="P299" s="53">
        <v>1</v>
      </c>
      <c r="Q299" s="183">
        <v>20</v>
      </c>
      <c r="R299" s="84">
        <v>0.89700000000000002</v>
      </c>
      <c r="S299" s="53">
        <v>27</v>
      </c>
      <c r="T299" s="53"/>
      <c r="U299" s="53">
        <v>3</v>
      </c>
      <c r="V299" s="53">
        <v>480</v>
      </c>
      <c r="W299" s="53"/>
      <c r="X299" s="53"/>
      <c r="Y299" s="53"/>
      <c r="Z299" s="53"/>
      <c r="AA299" s="53"/>
      <c r="AB299" s="53"/>
      <c r="AC299" s="137" t="s">
        <v>124</v>
      </c>
      <c r="AD299" s="138" t="s">
        <v>118</v>
      </c>
      <c r="AE299" s="83">
        <v>8760</v>
      </c>
      <c r="AF299" s="139">
        <v>1</v>
      </c>
      <c r="AG299" s="139">
        <f t="shared" si="58"/>
        <v>0.82191780821917804</v>
      </c>
      <c r="AH299" s="139">
        <v>0.6</v>
      </c>
      <c r="AI299" s="139">
        <v>0.6</v>
      </c>
      <c r="AJ299" s="83">
        <f t="shared" si="48"/>
        <v>2880</v>
      </c>
      <c r="AK299" s="83">
        <f t="shared" si="49"/>
        <v>4320</v>
      </c>
      <c r="AL299" s="104">
        <f t="shared" si="50"/>
        <v>9.9799331103678917</v>
      </c>
      <c r="AM299" s="104">
        <f t="shared" si="51"/>
        <v>9.9799331103678917</v>
      </c>
      <c r="AN299" s="83">
        <f t="shared" si="52"/>
        <v>28742.207357859526</v>
      </c>
      <c r="AO299" s="83">
        <f t="shared" si="53"/>
        <v>43113.311036789295</v>
      </c>
      <c r="AP299" s="182">
        <f t="shared" si="54"/>
        <v>98.072435414046794</v>
      </c>
      <c r="AQ299" s="182">
        <f t="shared" si="55"/>
        <v>147.1086531210702</v>
      </c>
      <c r="AR299" s="85"/>
      <c r="AS299" s="85"/>
      <c r="AT299" s="53"/>
      <c r="AU299" s="53"/>
      <c r="AV299" s="53"/>
      <c r="AW299" s="53"/>
      <c r="AX299" s="53"/>
      <c r="AY299" s="53"/>
      <c r="AZ299" s="53"/>
      <c r="BA299" s="53"/>
      <c r="BB299" s="53"/>
      <c r="BC299" s="111">
        <f t="shared" si="56"/>
        <v>28742.207357859526</v>
      </c>
      <c r="BD299" s="111">
        <f t="shared" si="57"/>
        <v>43113.311036789295</v>
      </c>
    </row>
    <row r="300" spans="1:56" ht="15.75" x14ac:dyDescent="0.25">
      <c r="A300" s="53">
        <v>290</v>
      </c>
      <c r="B300" s="53"/>
      <c r="C300" s="53"/>
      <c r="D300" s="53" t="s">
        <v>135</v>
      </c>
      <c r="E300" s="53"/>
      <c r="F300" s="53"/>
      <c r="G300" s="53" t="s">
        <v>290</v>
      </c>
      <c r="H300" s="53" t="s">
        <v>291</v>
      </c>
      <c r="I300" s="85" t="s">
        <v>546</v>
      </c>
      <c r="J300" s="85" t="s">
        <v>848</v>
      </c>
      <c r="K300" s="85" t="s">
        <v>448</v>
      </c>
      <c r="L300" s="53" t="s">
        <v>216</v>
      </c>
      <c r="M300" s="53" t="s">
        <v>252</v>
      </c>
      <c r="N300" s="53"/>
      <c r="O300" s="85" t="s">
        <v>135</v>
      </c>
      <c r="P300" s="53">
        <v>1</v>
      </c>
      <c r="Q300" s="183">
        <v>2</v>
      </c>
      <c r="R300" s="84">
        <v>0.87050000000000005</v>
      </c>
      <c r="S300" s="53">
        <v>3.4</v>
      </c>
      <c r="T300" s="53"/>
      <c r="U300" s="53">
        <v>3</v>
      </c>
      <c r="V300" s="53">
        <v>480</v>
      </c>
      <c r="W300" s="53"/>
      <c r="X300" s="53"/>
      <c r="Y300" s="53"/>
      <c r="Z300" s="53"/>
      <c r="AA300" s="53"/>
      <c r="AB300" s="53"/>
      <c r="AC300" s="137" t="s">
        <v>124</v>
      </c>
      <c r="AD300" s="138" t="s">
        <v>118</v>
      </c>
      <c r="AE300" s="83">
        <v>8760</v>
      </c>
      <c r="AF300" s="139">
        <v>1</v>
      </c>
      <c r="AG300" s="139">
        <f t="shared" si="58"/>
        <v>0.82191780821917804</v>
      </c>
      <c r="AH300" s="139">
        <v>0.6</v>
      </c>
      <c r="AI300" s="139">
        <v>0.6</v>
      </c>
      <c r="AJ300" s="83">
        <f t="shared" si="48"/>
        <v>2880</v>
      </c>
      <c r="AK300" s="83">
        <f t="shared" si="49"/>
        <v>4320</v>
      </c>
      <c r="AL300" s="104">
        <f t="shared" si="50"/>
        <v>1.0283744974152784</v>
      </c>
      <c r="AM300" s="104">
        <f t="shared" si="51"/>
        <v>1.0283744974152784</v>
      </c>
      <c r="AN300" s="83">
        <f t="shared" si="52"/>
        <v>2961.7185525560017</v>
      </c>
      <c r="AO300" s="83">
        <f t="shared" si="53"/>
        <v>4442.5778288340025</v>
      </c>
      <c r="AP300" s="182">
        <f t="shared" si="54"/>
        <v>10.105798341918435</v>
      </c>
      <c r="AQ300" s="182">
        <f t="shared" si="55"/>
        <v>15.158697512877652</v>
      </c>
      <c r="AR300" s="85"/>
      <c r="AS300" s="85"/>
      <c r="AT300" s="53"/>
      <c r="AU300" s="53"/>
      <c r="AV300" s="53"/>
      <c r="AW300" s="53"/>
      <c r="AX300" s="53"/>
      <c r="AY300" s="53"/>
      <c r="AZ300" s="53"/>
      <c r="BA300" s="53"/>
      <c r="BB300" s="53"/>
      <c r="BC300" s="111">
        <f t="shared" si="56"/>
        <v>2961.7185525560017</v>
      </c>
      <c r="BD300" s="111">
        <f t="shared" si="57"/>
        <v>4442.5778288340025</v>
      </c>
    </row>
    <row r="301" spans="1:56" ht="15.75" x14ac:dyDescent="0.25">
      <c r="A301" s="53">
        <v>291</v>
      </c>
      <c r="B301" s="53"/>
      <c r="C301" s="53"/>
      <c r="D301" s="53" t="s">
        <v>135</v>
      </c>
      <c r="E301" s="53"/>
      <c r="F301" s="53"/>
      <c r="G301" s="53" t="s">
        <v>290</v>
      </c>
      <c r="H301" s="53" t="s">
        <v>291</v>
      </c>
      <c r="I301" s="85" t="s">
        <v>325</v>
      </c>
      <c r="J301" s="85" t="s">
        <v>326</v>
      </c>
      <c r="K301" s="85" t="s">
        <v>294</v>
      </c>
      <c r="L301" s="53" t="s">
        <v>216</v>
      </c>
      <c r="M301" s="53" t="s">
        <v>295</v>
      </c>
      <c r="N301" s="53"/>
      <c r="O301" s="85" t="s">
        <v>135</v>
      </c>
      <c r="P301" s="53">
        <v>1</v>
      </c>
      <c r="Q301" s="183">
        <v>60</v>
      </c>
      <c r="R301" s="84">
        <v>0.91300000000000003</v>
      </c>
      <c r="S301" s="53">
        <v>72</v>
      </c>
      <c r="T301" s="53"/>
      <c r="U301" s="53">
        <v>3</v>
      </c>
      <c r="V301" s="53">
        <v>480</v>
      </c>
      <c r="W301" s="53"/>
      <c r="X301" s="53"/>
      <c r="Y301" s="53"/>
      <c r="Z301" s="53"/>
      <c r="AA301" s="53"/>
      <c r="AB301" s="53"/>
      <c r="AC301" s="137" t="s">
        <v>124</v>
      </c>
      <c r="AD301" s="138" t="s">
        <v>118</v>
      </c>
      <c r="AE301" s="83">
        <v>8760</v>
      </c>
      <c r="AF301" s="139">
        <v>1</v>
      </c>
      <c r="AG301" s="139">
        <f t="shared" si="58"/>
        <v>0.82191780821917804</v>
      </c>
      <c r="AH301" s="139">
        <v>0.75</v>
      </c>
      <c r="AI301" s="139">
        <v>0.75</v>
      </c>
      <c r="AJ301" s="83">
        <f t="shared" si="48"/>
        <v>2880</v>
      </c>
      <c r="AK301" s="83">
        <f t="shared" si="49"/>
        <v>4320</v>
      </c>
      <c r="AL301" s="104">
        <f t="shared" si="50"/>
        <v>36.768893756845564</v>
      </c>
      <c r="AM301" s="104">
        <f t="shared" si="51"/>
        <v>36.768893756845564</v>
      </c>
      <c r="AN301" s="83">
        <f t="shared" si="52"/>
        <v>105894.41401971523</v>
      </c>
      <c r="AO301" s="83">
        <f t="shared" si="53"/>
        <v>158841.62102957282</v>
      </c>
      <c r="AP301" s="182">
        <f t="shared" si="54"/>
        <v>361.32656585323116</v>
      </c>
      <c r="AQ301" s="182">
        <f t="shared" si="55"/>
        <v>541.98984877984651</v>
      </c>
      <c r="AR301" s="85"/>
      <c r="AS301" s="85"/>
      <c r="AT301" s="53"/>
      <c r="AU301" s="53"/>
      <c r="AV301" s="53"/>
      <c r="AW301" s="53"/>
      <c r="AX301" s="53"/>
      <c r="AY301" s="53"/>
      <c r="AZ301" s="53"/>
      <c r="BA301" s="53"/>
      <c r="BB301" s="53"/>
      <c r="BC301" s="111">
        <f t="shared" si="56"/>
        <v>105894.41401971523</v>
      </c>
      <c r="BD301" s="111">
        <f t="shared" si="57"/>
        <v>158841.62102957282</v>
      </c>
    </row>
    <row r="302" spans="1:56" ht="15.75" x14ac:dyDescent="0.25">
      <c r="A302" s="53">
        <v>292</v>
      </c>
      <c r="B302" s="53"/>
      <c r="C302" s="53"/>
      <c r="D302" s="53" t="s">
        <v>135</v>
      </c>
      <c r="E302" s="53"/>
      <c r="F302" s="53"/>
      <c r="G302" s="53" t="s">
        <v>290</v>
      </c>
      <c r="H302" s="53" t="s">
        <v>291</v>
      </c>
      <c r="I302" s="85" t="s">
        <v>441</v>
      </c>
      <c r="J302" s="85" t="s">
        <v>388</v>
      </c>
      <c r="K302" s="85" t="s">
        <v>365</v>
      </c>
      <c r="L302" s="53" t="s">
        <v>216</v>
      </c>
      <c r="M302" s="53" t="s">
        <v>295</v>
      </c>
      <c r="N302" s="53"/>
      <c r="O302" s="85" t="s">
        <v>442</v>
      </c>
      <c r="P302" s="53">
        <v>1</v>
      </c>
      <c r="Q302" s="183">
        <v>40</v>
      </c>
      <c r="R302" s="84">
        <v>0.89250000000000007</v>
      </c>
      <c r="S302" s="53">
        <v>49</v>
      </c>
      <c r="T302" s="53"/>
      <c r="U302" s="53">
        <v>3</v>
      </c>
      <c r="V302" s="53">
        <v>480</v>
      </c>
      <c r="W302" s="53"/>
      <c r="X302" s="53"/>
      <c r="Y302" s="53"/>
      <c r="Z302" s="53"/>
      <c r="AA302" s="53"/>
      <c r="AB302" s="53"/>
      <c r="AC302" s="137" t="s">
        <v>124</v>
      </c>
      <c r="AD302" s="138" t="s">
        <v>118</v>
      </c>
      <c r="AE302" s="83">
        <v>8760</v>
      </c>
      <c r="AF302" s="139">
        <v>1</v>
      </c>
      <c r="AG302" s="139">
        <f t="shared" si="58"/>
        <v>0.82191780821917804</v>
      </c>
      <c r="AH302" s="139">
        <v>0.6</v>
      </c>
      <c r="AI302" s="139">
        <v>0.6</v>
      </c>
      <c r="AJ302" s="83">
        <f t="shared" si="48"/>
        <v>2880</v>
      </c>
      <c r="AK302" s="83">
        <f t="shared" si="49"/>
        <v>4320</v>
      </c>
      <c r="AL302" s="104">
        <f t="shared" si="50"/>
        <v>20.060504201680669</v>
      </c>
      <c r="AM302" s="104">
        <f t="shared" si="51"/>
        <v>20.060504201680669</v>
      </c>
      <c r="AN302" s="83">
        <f t="shared" si="52"/>
        <v>57774.252100840327</v>
      </c>
      <c r="AO302" s="83">
        <f t="shared" si="53"/>
        <v>86661.378151260491</v>
      </c>
      <c r="AP302" s="182">
        <f t="shared" si="54"/>
        <v>197.13383656336131</v>
      </c>
      <c r="AQ302" s="182">
        <f t="shared" si="55"/>
        <v>295.70075484504201</v>
      </c>
      <c r="AR302" s="85"/>
      <c r="AS302" s="85"/>
      <c r="AT302" s="53"/>
      <c r="AU302" s="53"/>
      <c r="AV302" s="53"/>
      <c r="AW302" s="53"/>
      <c r="AX302" s="53"/>
      <c r="AY302" s="53"/>
      <c r="AZ302" s="53"/>
      <c r="BA302" s="53"/>
      <c r="BB302" s="53"/>
      <c r="BC302" s="111">
        <f t="shared" si="56"/>
        <v>57774.252100840327</v>
      </c>
      <c r="BD302" s="111">
        <f t="shared" si="57"/>
        <v>86661.378151260491</v>
      </c>
    </row>
    <row r="303" spans="1:56" ht="15.75" x14ac:dyDescent="0.25">
      <c r="A303" s="53">
        <v>293</v>
      </c>
      <c r="B303" s="53"/>
      <c r="C303" s="53"/>
      <c r="D303" s="53" t="s">
        <v>135</v>
      </c>
      <c r="E303" s="53"/>
      <c r="F303" s="53"/>
      <c r="G303" s="53" t="s">
        <v>290</v>
      </c>
      <c r="H303" s="53" t="s">
        <v>291</v>
      </c>
      <c r="I303" s="85" t="s">
        <v>441</v>
      </c>
      <c r="J303" s="85" t="s">
        <v>388</v>
      </c>
      <c r="K303" s="85" t="s">
        <v>365</v>
      </c>
      <c r="L303" s="53" t="s">
        <v>216</v>
      </c>
      <c r="M303" s="53" t="s">
        <v>295</v>
      </c>
      <c r="N303" s="53"/>
      <c r="O303" s="85" t="s">
        <v>443</v>
      </c>
      <c r="P303" s="53">
        <v>1</v>
      </c>
      <c r="Q303" s="183">
        <v>40</v>
      </c>
      <c r="R303" s="84">
        <v>0.89250000000000007</v>
      </c>
      <c r="S303" s="53">
        <v>49</v>
      </c>
      <c r="T303" s="53"/>
      <c r="U303" s="53">
        <v>3</v>
      </c>
      <c r="V303" s="53">
        <v>480</v>
      </c>
      <c r="W303" s="53"/>
      <c r="X303" s="53"/>
      <c r="Y303" s="53"/>
      <c r="Z303" s="53"/>
      <c r="AA303" s="53"/>
      <c r="AB303" s="53"/>
      <c r="AC303" s="137" t="s">
        <v>124</v>
      </c>
      <c r="AD303" s="138" t="s">
        <v>118</v>
      </c>
      <c r="AE303" s="83">
        <v>8760</v>
      </c>
      <c r="AF303" s="139">
        <v>1</v>
      </c>
      <c r="AG303" s="139">
        <f t="shared" si="58"/>
        <v>0.82191780821917804</v>
      </c>
      <c r="AH303" s="139">
        <v>0.6</v>
      </c>
      <c r="AI303" s="139">
        <v>0.6</v>
      </c>
      <c r="AJ303" s="83">
        <f t="shared" si="48"/>
        <v>2880</v>
      </c>
      <c r="AK303" s="83">
        <f t="shared" si="49"/>
        <v>4320</v>
      </c>
      <c r="AL303" s="104">
        <f t="shared" si="50"/>
        <v>20.060504201680669</v>
      </c>
      <c r="AM303" s="104">
        <f t="shared" si="51"/>
        <v>20.060504201680669</v>
      </c>
      <c r="AN303" s="83">
        <f t="shared" si="52"/>
        <v>57774.252100840327</v>
      </c>
      <c r="AO303" s="83">
        <f t="shared" si="53"/>
        <v>86661.378151260491</v>
      </c>
      <c r="AP303" s="182">
        <f t="shared" si="54"/>
        <v>197.13383656336131</v>
      </c>
      <c r="AQ303" s="182">
        <f t="shared" si="55"/>
        <v>295.70075484504201</v>
      </c>
      <c r="AR303" s="85"/>
      <c r="AS303" s="85"/>
      <c r="AT303" s="53"/>
      <c r="AU303" s="53"/>
      <c r="AV303" s="53"/>
      <c r="AW303" s="53"/>
      <c r="AX303" s="53"/>
      <c r="AY303" s="53"/>
      <c r="AZ303" s="53"/>
      <c r="BA303" s="53"/>
      <c r="BB303" s="53"/>
      <c r="BC303" s="111">
        <f t="shared" si="56"/>
        <v>57774.252100840327</v>
      </c>
      <c r="BD303" s="111">
        <f t="shared" si="57"/>
        <v>86661.378151260491</v>
      </c>
    </row>
    <row r="304" spans="1:56" ht="15.75" x14ac:dyDescent="0.25">
      <c r="A304" s="53">
        <v>294</v>
      </c>
      <c r="B304" s="53"/>
      <c r="C304" s="53"/>
      <c r="D304" s="53" t="s">
        <v>135</v>
      </c>
      <c r="E304" s="53"/>
      <c r="F304" s="53"/>
      <c r="G304" s="53" t="s">
        <v>290</v>
      </c>
      <c r="H304" s="53" t="s">
        <v>291</v>
      </c>
      <c r="I304" s="85" t="s">
        <v>441</v>
      </c>
      <c r="J304" s="85" t="s">
        <v>388</v>
      </c>
      <c r="K304" s="85" t="s">
        <v>365</v>
      </c>
      <c r="L304" s="53" t="s">
        <v>216</v>
      </c>
      <c r="M304" s="53" t="s">
        <v>295</v>
      </c>
      <c r="N304" s="53"/>
      <c r="O304" s="85" t="s">
        <v>444</v>
      </c>
      <c r="P304" s="53">
        <v>1</v>
      </c>
      <c r="Q304" s="183">
        <v>40</v>
      </c>
      <c r="R304" s="84">
        <v>0.89250000000000007</v>
      </c>
      <c r="S304" s="53">
        <v>49</v>
      </c>
      <c r="T304" s="53"/>
      <c r="U304" s="53">
        <v>3</v>
      </c>
      <c r="V304" s="53">
        <v>480</v>
      </c>
      <c r="W304" s="53"/>
      <c r="X304" s="53"/>
      <c r="Y304" s="53"/>
      <c r="Z304" s="53"/>
      <c r="AA304" s="53"/>
      <c r="AB304" s="53"/>
      <c r="AC304" s="137" t="s">
        <v>124</v>
      </c>
      <c r="AD304" s="138" t="s">
        <v>118</v>
      </c>
      <c r="AE304" s="83">
        <v>8760</v>
      </c>
      <c r="AF304" s="139">
        <v>1</v>
      </c>
      <c r="AG304" s="139">
        <f t="shared" si="58"/>
        <v>0.82191780821917804</v>
      </c>
      <c r="AH304" s="139">
        <v>0.6</v>
      </c>
      <c r="AI304" s="139">
        <v>0.6</v>
      </c>
      <c r="AJ304" s="83">
        <f t="shared" si="48"/>
        <v>2880</v>
      </c>
      <c r="AK304" s="83">
        <f t="shared" si="49"/>
        <v>4320</v>
      </c>
      <c r="AL304" s="104">
        <f t="shared" si="50"/>
        <v>20.060504201680669</v>
      </c>
      <c r="AM304" s="104">
        <f t="shared" si="51"/>
        <v>20.060504201680669</v>
      </c>
      <c r="AN304" s="83">
        <f t="shared" si="52"/>
        <v>57774.252100840327</v>
      </c>
      <c r="AO304" s="83">
        <f t="shared" si="53"/>
        <v>86661.378151260491</v>
      </c>
      <c r="AP304" s="182">
        <f t="shared" si="54"/>
        <v>197.13383656336131</v>
      </c>
      <c r="AQ304" s="182">
        <f t="shared" si="55"/>
        <v>295.70075484504201</v>
      </c>
      <c r="AR304" s="85"/>
      <c r="AS304" s="85"/>
      <c r="AT304" s="53"/>
      <c r="AU304" s="53"/>
      <c r="AV304" s="53"/>
      <c r="AW304" s="53"/>
      <c r="AX304" s="53"/>
      <c r="AY304" s="53"/>
      <c r="AZ304" s="53"/>
      <c r="BA304" s="53"/>
      <c r="BB304" s="53"/>
      <c r="BC304" s="111">
        <f t="shared" si="56"/>
        <v>57774.252100840327</v>
      </c>
      <c r="BD304" s="111">
        <f t="shared" si="57"/>
        <v>86661.378151260491</v>
      </c>
    </row>
    <row r="305" spans="1:56" ht="15.75" x14ac:dyDescent="0.25">
      <c r="A305" s="53">
        <v>295</v>
      </c>
      <c r="B305" s="53"/>
      <c r="C305" s="53"/>
      <c r="D305" s="53" t="s">
        <v>135</v>
      </c>
      <c r="E305" s="53"/>
      <c r="F305" s="53"/>
      <c r="G305" s="53" t="s">
        <v>290</v>
      </c>
      <c r="H305" s="53" t="s">
        <v>291</v>
      </c>
      <c r="I305" s="85" t="s">
        <v>441</v>
      </c>
      <c r="J305" s="85" t="s">
        <v>388</v>
      </c>
      <c r="K305" s="85" t="s">
        <v>365</v>
      </c>
      <c r="L305" s="53" t="s">
        <v>216</v>
      </c>
      <c r="M305" s="53" t="s">
        <v>295</v>
      </c>
      <c r="N305" s="53"/>
      <c r="O305" s="85" t="s">
        <v>445</v>
      </c>
      <c r="P305" s="53">
        <v>1</v>
      </c>
      <c r="Q305" s="183">
        <v>40</v>
      </c>
      <c r="R305" s="84">
        <v>0.89250000000000007</v>
      </c>
      <c r="S305" s="53">
        <v>49</v>
      </c>
      <c r="T305" s="53"/>
      <c r="U305" s="53">
        <v>3</v>
      </c>
      <c r="V305" s="53">
        <v>480</v>
      </c>
      <c r="W305" s="53"/>
      <c r="X305" s="53"/>
      <c r="Y305" s="53"/>
      <c r="Z305" s="53"/>
      <c r="AA305" s="53"/>
      <c r="AB305" s="53"/>
      <c r="AC305" s="137" t="s">
        <v>124</v>
      </c>
      <c r="AD305" s="138" t="s">
        <v>118</v>
      </c>
      <c r="AE305" s="83">
        <v>8760</v>
      </c>
      <c r="AF305" s="139">
        <v>1</v>
      </c>
      <c r="AG305" s="139">
        <f t="shared" si="58"/>
        <v>0.82191780821917804</v>
      </c>
      <c r="AH305" s="139">
        <v>0.6</v>
      </c>
      <c r="AI305" s="139">
        <v>0.6</v>
      </c>
      <c r="AJ305" s="83">
        <f t="shared" si="48"/>
        <v>2880</v>
      </c>
      <c r="AK305" s="83">
        <f t="shared" si="49"/>
        <v>4320</v>
      </c>
      <c r="AL305" s="104">
        <f t="shared" si="50"/>
        <v>20.060504201680669</v>
      </c>
      <c r="AM305" s="104">
        <f t="shared" si="51"/>
        <v>20.060504201680669</v>
      </c>
      <c r="AN305" s="83">
        <f t="shared" si="52"/>
        <v>57774.252100840327</v>
      </c>
      <c r="AO305" s="83">
        <f t="shared" si="53"/>
        <v>86661.378151260491</v>
      </c>
      <c r="AP305" s="182">
        <f t="shared" si="54"/>
        <v>197.13383656336131</v>
      </c>
      <c r="AQ305" s="182">
        <f t="shared" si="55"/>
        <v>295.70075484504201</v>
      </c>
      <c r="AR305" s="85"/>
      <c r="AS305" s="85"/>
      <c r="AT305" s="53"/>
      <c r="AU305" s="53"/>
      <c r="AV305" s="53"/>
      <c r="AW305" s="53"/>
      <c r="AX305" s="53"/>
      <c r="AY305" s="53"/>
      <c r="AZ305" s="53"/>
      <c r="BA305" s="53"/>
      <c r="BB305" s="53"/>
      <c r="BC305" s="111">
        <f t="shared" si="56"/>
        <v>57774.252100840327</v>
      </c>
      <c r="BD305" s="111">
        <f t="shared" si="57"/>
        <v>86661.378151260491</v>
      </c>
    </row>
    <row r="306" spans="1:56" ht="15.75" x14ac:dyDescent="0.25">
      <c r="A306" s="53">
        <v>296</v>
      </c>
      <c r="B306" s="53"/>
      <c r="C306" s="53"/>
      <c r="D306" s="53" t="s">
        <v>135</v>
      </c>
      <c r="E306" s="53"/>
      <c r="F306" s="53"/>
      <c r="G306" s="53" t="s">
        <v>290</v>
      </c>
      <c r="H306" s="53" t="s">
        <v>291</v>
      </c>
      <c r="I306" s="85" t="s">
        <v>327</v>
      </c>
      <c r="J306" s="85" t="s">
        <v>328</v>
      </c>
      <c r="K306" s="85" t="s">
        <v>330</v>
      </c>
      <c r="L306" s="53" t="s">
        <v>216</v>
      </c>
      <c r="M306" s="53" t="s">
        <v>295</v>
      </c>
      <c r="N306" s="53"/>
      <c r="O306" s="85" t="s">
        <v>135</v>
      </c>
      <c r="P306" s="53">
        <v>1</v>
      </c>
      <c r="Q306" s="183">
        <v>60</v>
      </c>
      <c r="R306" s="84">
        <v>0.91300000000000003</v>
      </c>
      <c r="S306" s="53">
        <v>72</v>
      </c>
      <c r="T306" s="53"/>
      <c r="U306" s="53">
        <v>3</v>
      </c>
      <c r="V306" s="53">
        <v>480</v>
      </c>
      <c r="W306" s="53"/>
      <c r="X306" s="53"/>
      <c r="Y306" s="53"/>
      <c r="Z306" s="53"/>
      <c r="AA306" s="53"/>
      <c r="AB306" s="53"/>
      <c r="AC306" s="137" t="s">
        <v>124</v>
      </c>
      <c r="AD306" s="138" t="s">
        <v>118</v>
      </c>
      <c r="AE306" s="83">
        <v>8760</v>
      </c>
      <c r="AF306" s="139">
        <v>1</v>
      </c>
      <c r="AG306" s="139">
        <f t="shared" si="58"/>
        <v>0.82191780821917804</v>
      </c>
      <c r="AH306" s="139">
        <v>0.75</v>
      </c>
      <c r="AI306" s="139">
        <v>0.75</v>
      </c>
      <c r="AJ306" s="83">
        <f t="shared" si="48"/>
        <v>2880</v>
      </c>
      <c r="AK306" s="83">
        <f t="shared" si="49"/>
        <v>4320</v>
      </c>
      <c r="AL306" s="104">
        <f t="shared" si="50"/>
        <v>36.768893756845564</v>
      </c>
      <c r="AM306" s="104">
        <f t="shared" si="51"/>
        <v>36.768893756845564</v>
      </c>
      <c r="AN306" s="83">
        <f t="shared" si="52"/>
        <v>105894.41401971523</v>
      </c>
      <c r="AO306" s="83">
        <f t="shared" si="53"/>
        <v>158841.62102957282</v>
      </c>
      <c r="AP306" s="182">
        <f t="shared" si="54"/>
        <v>361.32656585323116</v>
      </c>
      <c r="AQ306" s="182">
        <f t="shared" si="55"/>
        <v>541.98984877984651</v>
      </c>
      <c r="AR306" s="85"/>
      <c r="AS306" s="85"/>
      <c r="AT306" s="53"/>
      <c r="AU306" s="53"/>
      <c r="AV306" s="53"/>
      <c r="AW306" s="53"/>
      <c r="AX306" s="53"/>
      <c r="AY306" s="53"/>
      <c r="AZ306" s="53"/>
      <c r="BA306" s="53"/>
      <c r="BB306" s="53"/>
      <c r="BC306" s="111">
        <f t="shared" si="56"/>
        <v>105894.41401971523</v>
      </c>
      <c r="BD306" s="111">
        <f t="shared" si="57"/>
        <v>158841.62102957282</v>
      </c>
    </row>
    <row r="307" spans="1:56" ht="15.75" x14ac:dyDescent="0.25">
      <c r="A307" s="53">
        <v>297</v>
      </c>
      <c r="B307" s="53"/>
      <c r="C307" s="53"/>
      <c r="D307" s="53" t="s">
        <v>135</v>
      </c>
      <c r="E307" s="53"/>
      <c r="F307" s="53"/>
      <c r="G307" s="53" t="s">
        <v>290</v>
      </c>
      <c r="H307" s="53" t="s">
        <v>291</v>
      </c>
      <c r="I307" s="85" t="s">
        <v>327</v>
      </c>
      <c r="J307" s="85" t="s">
        <v>328</v>
      </c>
      <c r="K307" s="85" t="s">
        <v>331</v>
      </c>
      <c r="L307" s="53" t="s">
        <v>216</v>
      </c>
      <c r="M307" s="53" t="s">
        <v>295</v>
      </c>
      <c r="N307" s="53"/>
      <c r="O307" s="85" t="s">
        <v>135</v>
      </c>
      <c r="P307" s="53">
        <v>1</v>
      </c>
      <c r="Q307" s="183">
        <v>60</v>
      </c>
      <c r="R307" s="84">
        <v>0.91300000000000003</v>
      </c>
      <c r="S307" s="53">
        <v>72</v>
      </c>
      <c r="T307" s="53"/>
      <c r="U307" s="53">
        <v>3</v>
      </c>
      <c r="V307" s="53">
        <v>480</v>
      </c>
      <c r="W307" s="53"/>
      <c r="X307" s="53"/>
      <c r="Y307" s="53"/>
      <c r="Z307" s="53"/>
      <c r="AA307" s="53"/>
      <c r="AB307" s="53"/>
      <c r="AC307" s="137" t="s">
        <v>124</v>
      </c>
      <c r="AD307" s="138" t="s">
        <v>118</v>
      </c>
      <c r="AE307" s="83">
        <v>8760</v>
      </c>
      <c r="AF307" s="139">
        <v>1</v>
      </c>
      <c r="AG307" s="139">
        <f t="shared" ref="AG307:AG338" si="59">$AB$7</f>
        <v>0.82191780821917804</v>
      </c>
      <c r="AH307" s="139">
        <v>0.75</v>
      </c>
      <c r="AI307" s="139">
        <v>0.75</v>
      </c>
      <c r="AJ307" s="83">
        <f t="shared" si="48"/>
        <v>2880</v>
      </c>
      <c r="AK307" s="83">
        <f t="shared" si="49"/>
        <v>4320</v>
      </c>
      <c r="AL307" s="104">
        <f t="shared" si="50"/>
        <v>36.768893756845564</v>
      </c>
      <c r="AM307" s="104">
        <f t="shared" si="51"/>
        <v>36.768893756845564</v>
      </c>
      <c r="AN307" s="83">
        <f t="shared" si="52"/>
        <v>105894.41401971523</v>
      </c>
      <c r="AO307" s="83">
        <f t="shared" si="53"/>
        <v>158841.62102957282</v>
      </c>
      <c r="AP307" s="182">
        <f t="shared" si="54"/>
        <v>361.32656585323116</v>
      </c>
      <c r="AQ307" s="182">
        <f t="shared" si="55"/>
        <v>541.98984877984651</v>
      </c>
      <c r="AR307" s="85"/>
      <c r="AS307" s="85"/>
      <c r="AT307" s="53"/>
      <c r="AU307" s="53"/>
      <c r="AV307" s="53"/>
      <c r="AW307" s="53"/>
      <c r="AX307" s="53"/>
      <c r="AY307" s="53"/>
      <c r="AZ307" s="53"/>
      <c r="BA307" s="53"/>
      <c r="BB307" s="53"/>
      <c r="BC307" s="111">
        <f t="shared" si="56"/>
        <v>105894.41401971523</v>
      </c>
      <c r="BD307" s="111">
        <f t="shared" si="57"/>
        <v>158841.62102957282</v>
      </c>
    </row>
    <row r="308" spans="1:56" ht="15.75" x14ac:dyDescent="0.25">
      <c r="A308" s="53">
        <v>298</v>
      </c>
      <c r="B308" s="53"/>
      <c r="C308" s="53"/>
      <c r="D308" s="53" t="s">
        <v>135</v>
      </c>
      <c r="E308" s="53"/>
      <c r="F308" s="53"/>
      <c r="G308" s="53" t="s">
        <v>290</v>
      </c>
      <c r="H308" s="53" t="s">
        <v>291</v>
      </c>
      <c r="I308" s="85" t="s">
        <v>547</v>
      </c>
      <c r="J308" s="85" t="s">
        <v>533</v>
      </c>
      <c r="K308" s="85" t="s">
        <v>448</v>
      </c>
      <c r="L308" s="53" t="s">
        <v>216</v>
      </c>
      <c r="M308" s="53" t="s">
        <v>252</v>
      </c>
      <c r="N308" s="53"/>
      <c r="O308" s="85" t="s">
        <v>135</v>
      </c>
      <c r="P308" s="53">
        <v>1</v>
      </c>
      <c r="Q308" s="183">
        <v>20</v>
      </c>
      <c r="R308" s="84">
        <v>0.89700000000000002</v>
      </c>
      <c r="S308" s="53">
        <v>27</v>
      </c>
      <c r="T308" s="53"/>
      <c r="U308" s="53">
        <v>3</v>
      </c>
      <c r="V308" s="53">
        <v>480</v>
      </c>
      <c r="W308" s="53"/>
      <c r="X308" s="53"/>
      <c r="Y308" s="53"/>
      <c r="Z308" s="53"/>
      <c r="AA308" s="53"/>
      <c r="AB308" s="53"/>
      <c r="AC308" s="137" t="s">
        <v>124</v>
      </c>
      <c r="AD308" s="138" t="s">
        <v>118</v>
      </c>
      <c r="AE308" s="83">
        <v>8760</v>
      </c>
      <c r="AF308" s="139">
        <v>1</v>
      </c>
      <c r="AG308" s="139">
        <f t="shared" si="59"/>
        <v>0.82191780821917804</v>
      </c>
      <c r="AH308" s="139">
        <v>0.6</v>
      </c>
      <c r="AI308" s="139">
        <v>0.6</v>
      </c>
      <c r="AJ308" s="83">
        <f t="shared" si="48"/>
        <v>2880</v>
      </c>
      <c r="AK308" s="83">
        <f t="shared" si="49"/>
        <v>4320</v>
      </c>
      <c r="AL308" s="104">
        <f t="shared" si="50"/>
        <v>9.9799331103678917</v>
      </c>
      <c r="AM308" s="104">
        <f t="shared" si="51"/>
        <v>9.9799331103678917</v>
      </c>
      <c r="AN308" s="83">
        <f t="shared" si="52"/>
        <v>28742.207357859526</v>
      </c>
      <c r="AO308" s="83">
        <f t="shared" si="53"/>
        <v>43113.311036789295</v>
      </c>
      <c r="AP308" s="182">
        <f t="shared" si="54"/>
        <v>98.072435414046794</v>
      </c>
      <c r="AQ308" s="182">
        <f t="shared" si="55"/>
        <v>147.1086531210702</v>
      </c>
      <c r="AR308" s="85"/>
      <c r="AS308" s="85"/>
      <c r="AT308" s="53"/>
      <c r="AU308" s="53"/>
      <c r="AV308" s="53"/>
      <c r="AW308" s="53"/>
      <c r="AX308" s="53"/>
      <c r="AY308" s="53"/>
      <c r="AZ308" s="53"/>
      <c r="BA308" s="53"/>
      <c r="BB308" s="53"/>
      <c r="BC308" s="111">
        <f t="shared" si="56"/>
        <v>28742.207357859526</v>
      </c>
      <c r="BD308" s="111">
        <f t="shared" si="57"/>
        <v>43113.311036789295</v>
      </c>
    </row>
    <row r="309" spans="1:56" ht="15.75" x14ac:dyDescent="0.25">
      <c r="A309" s="53">
        <v>299</v>
      </c>
      <c r="B309" s="53"/>
      <c r="C309" s="53"/>
      <c r="D309" s="53" t="s">
        <v>135</v>
      </c>
      <c r="E309" s="53"/>
      <c r="F309" s="53"/>
      <c r="G309" s="53" t="s">
        <v>290</v>
      </c>
      <c r="H309" s="53" t="s">
        <v>291</v>
      </c>
      <c r="I309" s="85" t="s">
        <v>547</v>
      </c>
      <c r="J309" s="85" t="s">
        <v>535</v>
      </c>
      <c r="K309" s="85" t="s">
        <v>448</v>
      </c>
      <c r="L309" s="53" t="s">
        <v>216</v>
      </c>
      <c r="M309" s="53" t="s">
        <v>252</v>
      </c>
      <c r="N309" s="53"/>
      <c r="O309" s="85" t="s">
        <v>135</v>
      </c>
      <c r="P309" s="53">
        <v>1</v>
      </c>
      <c r="Q309" s="183">
        <v>20</v>
      </c>
      <c r="R309" s="84">
        <v>0.89700000000000002</v>
      </c>
      <c r="S309" s="53">
        <v>27</v>
      </c>
      <c r="T309" s="53"/>
      <c r="U309" s="53">
        <v>3</v>
      </c>
      <c r="V309" s="53">
        <v>480</v>
      </c>
      <c r="W309" s="53"/>
      <c r="X309" s="53"/>
      <c r="Y309" s="53"/>
      <c r="Z309" s="53"/>
      <c r="AA309" s="53"/>
      <c r="AB309" s="53"/>
      <c r="AC309" s="137" t="s">
        <v>124</v>
      </c>
      <c r="AD309" s="138" t="s">
        <v>118</v>
      </c>
      <c r="AE309" s="83">
        <v>8760</v>
      </c>
      <c r="AF309" s="139">
        <v>1</v>
      </c>
      <c r="AG309" s="139">
        <f t="shared" si="59"/>
        <v>0.82191780821917804</v>
      </c>
      <c r="AH309" s="139">
        <v>0.6</v>
      </c>
      <c r="AI309" s="139">
        <v>0.6</v>
      </c>
      <c r="AJ309" s="83">
        <f t="shared" si="48"/>
        <v>2880</v>
      </c>
      <c r="AK309" s="83">
        <f t="shared" si="49"/>
        <v>4320</v>
      </c>
      <c r="AL309" s="104">
        <f t="shared" si="50"/>
        <v>9.9799331103678917</v>
      </c>
      <c r="AM309" s="104">
        <f t="shared" si="51"/>
        <v>9.9799331103678917</v>
      </c>
      <c r="AN309" s="83">
        <f t="shared" si="52"/>
        <v>28742.207357859526</v>
      </c>
      <c r="AO309" s="83">
        <f t="shared" si="53"/>
        <v>43113.311036789295</v>
      </c>
      <c r="AP309" s="182">
        <f t="shared" si="54"/>
        <v>98.072435414046794</v>
      </c>
      <c r="AQ309" s="182">
        <f t="shared" si="55"/>
        <v>147.1086531210702</v>
      </c>
      <c r="AR309" s="85"/>
      <c r="AS309" s="85"/>
      <c r="AT309" s="53"/>
      <c r="AU309" s="53"/>
      <c r="AV309" s="53"/>
      <c r="AW309" s="53"/>
      <c r="AX309" s="53"/>
      <c r="AY309" s="53"/>
      <c r="AZ309" s="53"/>
      <c r="BA309" s="53"/>
      <c r="BB309" s="53"/>
      <c r="BC309" s="111">
        <f t="shared" si="56"/>
        <v>28742.207357859526</v>
      </c>
      <c r="BD309" s="111">
        <f t="shared" si="57"/>
        <v>43113.311036789295</v>
      </c>
    </row>
    <row r="310" spans="1:56" ht="21" customHeight="1" x14ac:dyDescent="0.25">
      <c r="A310" s="53">
        <v>300</v>
      </c>
      <c r="B310" s="53"/>
      <c r="C310" s="53"/>
      <c r="D310" s="53" t="s">
        <v>135</v>
      </c>
      <c r="E310" s="53"/>
      <c r="F310" s="53"/>
      <c r="G310" s="53" t="s">
        <v>290</v>
      </c>
      <c r="H310" s="53" t="s">
        <v>291</v>
      </c>
      <c r="I310" s="85" t="s">
        <v>547</v>
      </c>
      <c r="J310" s="85" t="s">
        <v>848</v>
      </c>
      <c r="K310" s="85" t="s">
        <v>448</v>
      </c>
      <c r="L310" s="53" t="s">
        <v>216</v>
      </c>
      <c r="M310" s="53" t="s">
        <v>252</v>
      </c>
      <c r="N310" s="53"/>
      <c r="O310" s="85" t="s">
        <v>135</v>
      </c>
      <c r="P310" s="53">
        <v>1</v>
      </c>
      <c r="Q310" s="183">
        <v>2</v>
      </c>
      <c r="R310" s="84">
        <v>0.87050000000000005</v>
      </c>
      <c r="S310" s="53">
        <v>3.4</v>
      </c>
      <c r="T310" s="53"/>
      <c r="U310" s="53">
        <v>3</v>
      </c>
      <c r="V310" s="53">
        <v>480</v>
      </c>
      <c r="W310" s="53"/>
      <c r="X310" s="53"/>
      <c r="Y310" s="53"/>
      <c r="Z310" s="53"/>
      <c r="AA310" s="53"/>
      <c r="AB310" s="53"/>
      <c r="AC310" s="137" t="s">
        <v>124</v>
      </c>
      <c r="AD310" s="138" t="s">
        <v>118</v>
      </c>
      <c r="AE310" s="83">
        <v>8760</v>
      </c>
      <c r="AF310" s="139">
        <v>1</v>
      </c>
      <c r="AG310" s="139">
        <f t="shared" si="59"/>
        <v>0.82191780821917804</v>
      </c>
      <c r="AH310" s="139">
        <v>0.6</v>
      </c>
      <c r="AI310" s="139">
        <v>0.6</v>
      </c>
      <c r="AJ310" s="83">
        <f t="shared" si="48"/>
        <v>2880</v>
      </c>
      <c r="AK310" s="83">
        <f t="shared" si="49"/>
        <v>4320</v>
      </c>
      <c r="AL310" s="104">
        <f t="shared" si="50"/>
        <v>1.0283744974152784</v>
      </c>
      <c r="AM310" s="104">
        <f t="shared" si="51"/>
        <v>1.0283744974152784</v>
      </c>
      <c r="AN310" s="83">
        <f t="shared" si="52"/>
        <v>2961.7185525560017</v>
      </c>
      <c r="AO310" s="83">
        <f t="shared" si="53"/>
        <v>4442.5778288340025</v>
      </c>
      <c r="AP310" s="182">
        <f t="shared" si="54"/>
        <v>10.105798341918435</v>
      </c>
      <c r="AQ310" s="182">
        <f t="shared" si="55"/>
        <v>15.158697512877652</v>
      </c>
      <c r="AR310" s="85"/>
      <c r="AS310" s="85"/>
      <c r="AT310" s="53"/>
      <c r="AU310" s="53"/>
      <c r="AV310" s="53"/>
      <c r="AW310" s="53"/>
      <c r="AX310" s="53"/>
      <c r="AY310" s="53"/>
      <c r="AZ310" s="53"/>
      <c r="BA310" s="53"/>
      <c r="BB310" s="53"/>
      <c r="BC310" s="111">
        <f t="shared" si="56"/>
        <v>2961.7185525560017</v>
      </c>
      <c r="BD310" s="111">
        <f t="shared" si="57"/>
        <v>4442.5778288340025</v>
      </c>
    </row>
    <row r="311" spans="1:56" ht="21" customHeight="1" x14ac:dyDescent="0.25">
      <c r="A311" s="53">
        <v>301</v>
      </c>
      <c r="B311" s="53"/>
      <c r="C311" s="53"/>
      <c r="D311" s="53" t="s">
        <v>135</v>
      </c>
      <c r="E311" s="53"/>
      <c r="F311" s="53"/>
      <c r="G311" s="53" t="s">
        <v>290</v>
      </c>
      <c r="H311" s="53" t="s">
        <v>291</v>
      </c>
      <c r="I311" s="85" t="s">
        <v>401</v>
      </c>
      <c r="J311" s="85" t="s">
        <v>402</v>
      </c>
      <c r="K311" s="85" t="s">
        <v>403</v>
      </c>
      <c r="L311" s="53" t="s">
        <v>404</v>
      </c>
      <c r="M311" s="53" t="s">
        <v>405</v>
      </c>
      <c r="N311" s="53"/>
      <c r="O311" s="85" t="s">
        <v>406</v>
      </c>
      <c r="P311" s="53">
        <v>1</v>
      </c>
      <c r="Q311" s="183">
        <v>0</v>
      </c>
      <c r="R311" s="84"/>
      <c r="S311" s="163">
        <v>55</v>
      </c>
      <c r="T311" s="53"/>
      <c r="U311" s="163">
        <v>3</v>
      </c>
      <c r="V311" s="163">
        <v>480</v>
      </c>
      <c r="W311" s="53"/>
      <c r="X311" s="53"/>
      <c r="Y311" s="53"/>
      <c r="Z311" s="53"/>
      <c r="AA311" s="53"/>
      <c r="AB311" s="53"/>
      <c r="AC311" s="137" t="s">
        <v>129</v>
      </c>
      <c r="AD311" s="138" t="s">
        <v>118</v>
      </c>
      <c r="AE311" s="83">
        <v>8760</v>
      </c>
      <c r="AF311" s="179">
        <v>0.5</v>
      </c>
      <c r="AG311" s="139">
        <f t="shared" si="59"/>
        <v>0.82191780821917804</v>
      </c>
      <c r="AH311" s="139">
        <v>1</v>
      </c>
      <c r="AI311" s="139">
        <v>1</v>
      </c>
      <c r="AJ311" s="83">
        <f t="shared" si="48"/>
        <v>2880</v>
      </c>
      <c r="AK311" s="83">
        <f t="shared" si="49"/>
        <v>4320</v>
      </c>
      <c r="AL311" s="104">
        <f t="shared" si="50"/>
        <v>20.576160000000002</v>
      </c>
      <c r="AM311" s="104">
        <f t="shared" si="51"/>
        <v>20.576160000000002</v>
      </c>
      <c r="AN311" s="83">
        <f t="shared" si="52"/>
        <v>59259.340800000005</v>
      </c>
      <c r="AO311" s="83">
        <f t="shared" si="53"/>
        <v>88889.011200000008</v>
      </c>
      <c r="AP311" s="182">
        <f t="shared" si="54"/>
        <v>202.20116711731202</v>
      </c>
      <c r="AQ311" s="182">
        <f t="shared" si="55"/>
        <v>303.30175067596798</v>
      </c>
      <c r="AR311" s="85"/>
      <c r="AS311" s="85"/>
      <c r="AT311" s="53"/>
      <c r="AU311" s="53"/>
      <c r="AV311" s="53"/>
      <c r="AW311" s="53"/>
      <c r="AX311" s="53"/>
      <c r="AY311" s="53"/>
      <c r="AZ311" s="53"/>
      <c r="BA311" s="53"/>
      <c r="BB311" s="53"/>
      <c r="BC311" s="111">
        <f t="shared" si="56"/>
        <v>59259.340800000005</v>
      </c>
      <c r="BD311" s="111">
        <f t="shared" si="57"/>
        <v>88889.011200000008</v>
      </c>
    </row>
    <row r="312" spans="1:56" ht="21" customHeight="1" x14ac:dyDescent="0.25">
      <c r="A312" s="53">
        <v>302</v>
      </c>
      <c r="B312" s="53"/>
      <c r="C312" s="53"/>
      <c r="D312" s="53" t="s">
        <v>135</v>
      </c>
      <c r="E312" s="53"/>
      <c r="F312" s="53"/>
      <c r="G312" s="53" t="s">
        <v>290</v>
      </c>
      <c r="H312" s="53" t="s">
        <v>291</v>
      </c>
      <c r="I312" s="85" t="s">
        <v>401</v>
      </c>
      <c r="J312" s="85" t="s">
        <v>407</v>
      </c>
      <c r="K312" s="85" t="s">
        <v>403</v>
      </c>
      <c r="L312" s="53" t="s">
        <v>404</v>
      </c>
      <c r="M312" s="53" t="s">
        <v>405</v>
      </c>
      <c r="N312" s="53"/>
      <c r="O312" s="85" t="s">
        <v>406</v>
      </c>
      <c r="P312" s="53">
        <v>1</v>
      </c>
      <c r="Q312" s="183">
        <v>0</v>
      </c>
      <c r="R312" s="84"/>
      <c r="S312" s="163">
        <v>55</v>
      </c>
      <c r="T312" s="53"/>
      <c r="U312" s="163">
        <v>3</v>
      </c>
      <c r="V312" s="163">
        <v>480</v>
      </c>
      <c r="W312" s="53"/>
      <c r="X312" s="53"/>
      <c r="Y312" s="53"/>
      <c r="Z312" s="53"/>
      <c r="AA312" s="53"/>
      <c r="AB312" s="53"/>
      <c r="AC312" s="137" t="s">
        <v>129</v>
      </c>
      <c r="AD312" s="138" t="s">
        <v>118</v>
      </c>
      <c r="AE312" s="83">
        <v>8760</v>
      </c>
      <c r="AF312" s="179">
        <v>0.5</v>
      </c>
      <c r="AG312" s="139">
        <f t="shared" si="59"/>
        <v>0.82191780821917804</v>
      </c>
      <c r="AH312" s="139">
        <v>1</v>
      </c>
      <c r="AI312" s="139">
        <v>1</v>
      </c>
      <c r="AJ312" s="83">
        <f t="shared" si="48"/>
        <v>2880</v>
      </c>
      <c r="AK312" s="83">
        <f t="shared" si="49"/>
        <v>4320</v>
      </c>
      <c r="AL312" s="104">
        <f t="shared" si="50"/>
        <v>20.576160000000002</v>
      </c>
      <c r="AM312" s="104">
        <f t="shared" si="51"/>
        <v>20.576160000000002</v>
      </c>
      <c r="AN312" s="83">
        <f t="shared" si="52"/>
        <v>59259.340800000005</v>
      </c>
      <c r="AO312" s="83">
        <f t="shared" si="53"/>
        <v>88889.011200000008</v>
      </c>
      <c r="AP312" s="182">
        <f t="shared" si="54"/>
        <v>202.20116711731202</v>
      </c>
      <c r="AQ312" s="182">
        <f t="shared" si="55"/>
        <v>303.30175067596798</v>
      </c>
      <c r="AR312" s="85"/>
      <c r="AS312" s="85"/>
      <c r="AT312" s="53"/>
      <c r="AU312" s="53"/>
      <c r="AV312" s="53"/>
      <c r="AW312" s="53"/>
      <c r="AX312" s="53"/>
      <c r="AY312" s="53"/>
      <c r="AZ312" s="53"/>
      <c r="BA312" s="53"/>
      <c r="BB312" s="53"/>
      <c r="BC312" s="111">
        <f t="shared" si="56"/>
        <v>59259.340800000005</v>
      </c>
      <c r="BD312" s="111">
        <f t="shared" si="57"/>
        <v>88889.011200000008</v>
      </c>
    </row>
    <row r="313" spans="1:56" ht="21" customHeight="1" x14ac:dyDescent="0.25">
      <c r="A313" s="53">
        <v>303</v>
      </c>
      <c r="B313" s="53"/>
      <c r="C313" s="53"/>
      <c r="D313" s="53" t="s">
        <v>135</v>
      </c>
      <c r="E313" s="53"/>
      <c r="F313" s="53"/>
      <c r="G313" s="53" t="s">
        <v>290</v>
      </c>
      <c r="H313" s="53" t="s">
        <v>291</v>
      </c>
      <c r="I313" s="85" t="s">
        <v>401</v>
      </c>
      <c r="J313" s="85" t="s">
        <v>408</v>
      </c>
      <c r="K313" s="85" t="s">
        <v>403</v>
      </c>
      <c r="L313" s="53" t="s">
        <v>404</v>
      </c>
      <c r="M313" s="53" t="s">
        <v>405</v>
      </c>
      <c r="N313" s="53"/>
      <c r="O313" s="85" t="s">
        <v>406</v>
      </c>
      <c r="P313" s="53">
        <v>1</v>
      </c>
      <c r="Q313" s="183">
        <v>0</v>
      </c>
      <c r="R313" s="84"/>
      <c r="S313" s="163">
        <v>55</v>
      </c>
      <c r="T313" s="53"/>
      <c r="U313" s="163">
        <v>3</v>
      </c>
      <c r="V313" s="163">
        <v>480</v>
      </c>
      <c r="W313" s="53"/>
      <c r="X313" s="53"/>
      <c r="Y313" s="53"/>
      <c r="Z313" s="53"/>
      <c r="AA313" s="53"/>
      <c r="AB313" s="53"/>
      <c r="AC313" s="137" t="s">
        <v>129</v>
      </c>
      <c r="AD313" s="138" t="s">
        <v>118</v>
      </c>
      <c r="AE313" s="83">
        <v>8760</v>
      </c>
      <c r="AF313" s="179">
        <v>0.5</v>
      </c>
      <c r="AG313" s="139">
        <f t="shared" si="59"/>
        <v>0.82191780821917804</v>
      </c>
      <c r="AH313" s="139">
        <v>1</v>
      </c>
      <c r="AI313" s="139">
        <v>1</v>
      </c>
      <c r="AJ313" s="83">
        <f t="shared" si="48"/>
        <v>2880</v>
      </c>
      <c r="AK313" s="83">
        <f t="shared" si="49"/>
        <v>4320</v>
      </c>
      <c r="AL313" s="104">
        <f t="shared" si="50"/>
        <v>20.576160000000002</v>
      </c>
      <c r="AM313" s="104">
        <f t="shared" si="51"/>
        <v>20.576160000000002</v>
      </c>
      <c r="AN313" s="83">
        <f t="shared" si="52"/>
        <v>59259.340800000005</v>
      </c>
      <c r="AO313" s="83">
        <f t="shared" si="53"/>
        <v>88889.011200000008</v>
      </c>
      <c r="AP313" s="182">
        <f t="shared" si="54"/>
        <v>202.20116711731202</v>
      </c>
      <c r="AQ313" s="182">
        <f t="shared" si="55"/>
        <v>303.30175067596798</v>
      </c>
      <c r="AR313" s="85"/>
      <c r="AS313" s="85"/>
      <c r="AT313" s="53"/>
      <c r="AU313" s="53"/>
      <c r="AV313" s="53"/>
      <c r="AW313" s="53"/>
      <c r="AX313" s="53"/>
      <c r="AY313" s="53"/>
      <c r="AZ313" s="53"/>
      <c r="BA313" s="53"/>
      <c r="BB313" s="53"/>
      <c r="BC313" s="111">
        <f t="shared" si="56"/>
        <v>59259.340800000005</v>
      </c>
      <c r="BD313" s="111">
        <f t="shared" si="57"/>
        <v>88889.011200000008</v>
      </c>
    </row>
    <row r="314" spans="1:56" ht="21" customHeight="1" x14ac:dyDescent="0.25">
      <c r="A314" s="53">
        <v>304</v>
      </c>
      <c r="B314" s="53"/>
      <c r="C314" s="53"/>
      <c r="D314" s="53" t="s">
        <v>135</v>
      </c>
      <c r="E314" s="53"/>
      <c r="F314" s="53"/>
      <c r="G314" s="53" t="s">
        <v>290</v>
      </c>
      <c r="H314" s="53" t="s">
        <v>291</v>
      </c>
      <c r="I314" s="85" t="s">
        <v>401</v>
      </c>
      <c r="J314" s="85" t="s">
        <v>672</v>
      </c>
      <c r="K314" s="85" t="s">
        <v>673</v>
      </c>
      <c r="L314" s="53" t="s">
        <v>216</v>
      </c>
      <c r="M314" s="53" t="s">
        <v>295</v>
      </c>
      <c r="N314" s="53"/>
      <c r="O314" s="85" t="s">
        <v>135</v>
      </c>
      <c r="P314" s="53">
        <v>1</v>
      </c>
      <c r="Q314" s="183">
        <v>7.5</v>
      </c>
      <c r="R314" s="84">
        <v>0.87050000000000005</v>
      </c>
      <c r="S314" s="53">
        <v>10</v>
      </c>
      <c r="T314" s="53"/>
      <c r="U314" s="53">
        <v>3</v>
      </c>
      <c r="V314" s="53">
        <v>480</v>
      </c>
      <c r="W314" s="53"/>
      <c r="X314" s="53"/>
      <c r="Y314" s="53"/>
      <c r="Z314" s="53"/>
      <c r="AA314" s="53"/>
      <c r="AB314" s="53"/>
      <c r="AC314" s="137" t="s">
        <v>124</v>
      </c>
      <c r="AD314" s="138" t="s">
        <v>118</v>
      </c>
      <c r="AE314" s="83">
        <v>8760</v>
      </c>
      <c r="AF314" s="139">
        <v>1</v>
      </c>
      <c r="AG314" s="139">
        <f t="shared" si="59"/>
        <v>0.82191780821917804</v>
      </c>
      <c r="AH314" s="139">
        <v>0.6</v>
      </c>
      <c r="AI314" s="139">
        <v>0.6</v>
      </c>
      <c r="AJ314" s="83">
        <f t="shared" si="48"/>
        <v>2880</v>
      </c>
      <c r="AK314" s="83">
        <f t="shared" si="49"/>
        <v>4320</v>
      </c>
      <c r="AL314" s="104">
        <f t="shared" si="50"/>
        <v>3.8564043653072941</v>
      </c>
      <c r="AM314" s="104">
        <f t="shared" si="51"/>
        <v>3.8564043653072941</v>
      </c>
      <c r="AN314" s="83">
        <f t="shared" si="52"/>
        <v>11106.444572085007</v>
      </c>
      <c r="AO314" s="83">
        <f t="shared" si="53"/>
        <v>16659.666858127512</v>
      </c>
      <c r="AP314" s="182">
        <f t="shared" si="54"/>
        <v>37.896743782194136</v>
      </c>
      <c r="AQ314" s="182">
        <f t="shared" si="55"/>
        <v>56.845115673291204</v>
      </c>
      <c r="AR314" s="85"/>
      <c r="AS314" s="85"/>
      <c r="AT314" s="53"/>
      <c r="AU314" s="53"/>
      <c r="AV314" s="53"/>
      <c r="AW314" s="53"/>
      <c r="AX314" s="53"/>
      <c r="AY314" s="53"/>
      <c r="AZ314" s="53"/>
      <c r="BA314" s="53"/>
      <c r="BB314" s="53"/>
      <c r="BC314" s="111">
        <f t="shared" si="56"/>
        <v>11106.444572085007</v>
      </c>
      <c r="BD314" s="111">
        <f t="shared" si="57"/>
        <v>16659.666858127512</v>
      </c>
    </row>
    <row r="315" spans="1:56" ht="21" customHeight="1" x14ac:dyDescent="0.25">
      <c r="A315" s="53">
        <v>305</v>
      </c>
      <c r="B315" s="53"/>
      <c r="C315" s="53"/>
      <c r="D315" s="53" t="s">
        <v>135</v>
      </c>
      <c r="E315" s="53"/>
      <c r="F315" s="53"/>
      <c r="G315" s="53" t="s">
        <v>290</v>
      </c>
      <c r="H315" s="53" t="s">
        <v>291</v>
      </c>
      <c r="I315" s="85" t="s">
        <v>401</v>
      </c>
      <c r="J315" s="85" t="s">
        <v>548</v>
      </c>
      <c r="K315" s="85" t="s">
        <v>294</v>
      </c>
      <c r="L315" s="53" t="s">
        <v>216</v>
      </c>
      <c r="M315" s="53" t="s">
        <v>295</v>
      </c>
      <c r="N315" s="53"/>
      <c r="O315" s="85" t="s">
        <v>135</v>
      </c>
      <c r="P315" s="53">
        <v>1</v>
      </c>
      <c r="Q315" s="183">
        <v>20</v>
      </c>
      <c r="R315" s="84">
        <v>0.89700000000000002</v>
      </c>
      <c r="S315" s="53">
        <v>24.7</v>
      </c>
      <c r="T315" s="53"/>
      <c r="U315" s="53">
        <v>3</v>
      </c>
      <c r="V315" s="53">
        <v>480</v>
      </c>
      <c r="W315" s="53"/>
      <c r="X315" s="53"/>
      <c r="Y315" s="53"/>
      <c r="Z315" s="53"/>
      <c r="AA315" s="53"/>
      <c r="AB315" s="53"/>
      <c r="AC315" s="137" t="s">
        <v>124</v>
      </c>
      <c r="AD315" s="138" t="s">
        <v>118</v>
      </c>
      <c r="AE315" s="83">
        <v>8760</v>
      </c>
      <c r="AF315" s="139">
        <v>1</v>
      </c>
      <c r="AG315" s="139">
        <f t="shared" si="59"/>
        <v>0.82191780821917804</v>
      </c>
      <c r="AH315" s="139">
        <v>0.6</v>
      </c>
      <c r="AI315" s="139">
        <v>0.6</v>
      </c>
      <c r="AJ315" s="83">
        <f t="shared" si="48"/>
        <v>2880</v>
      </c>
      <c r="AK315" s="83">
        <f t="shared" si="49"/>
        <v>4320</v>
      </c>
      <c r="AL315" s="104">
        <f t="shared" si="50"/>
        <v>9.9799331103678917</v>
      </c>
      <c r="AM315" s="104">
        <f t="shared" si="51"/>
        <v>9.9799331103678917</v>
      </c>
      <c r="AN315" s="83">
        <f t="shared" si="52"/>
        <v>28742.207357859526</v>
      </c>
      <c r="AO315" s="83">
        <f t="shared" si="53"/>
        <v>43113.311036789295</v>
      </c>
      <c r="AP315" s="182">
        <f t="shared" si="54"/>
        <v>98.072435414046794</v>
      </c>
      <c r="AQ315" s="182">
        <f t="shared" si="55"/>
        <v>147.1086531210702</v>
      </c>
      <c r="AR315" s="85"/>
      <c r="AS315" s="85"/>
      <c r="AT315" s="53"/>
      <c r="AU315" s="53"/>
      <c r="AV315" s="53"/>
      <c r="AW315" s="53"/>
      <c r="AX315" s="53"/>
      <c r="AY315" s="53"/>
      <c r="AZ315" s="53"/>
      <c r="BA315" s="53"/>
      <c r="BB315" s="53"/>
      <c r="BC315" s="111">
        <f t="shared" si="56"/>
        <v>28742.207357859526</v>
      </c>
      <c r="BD315" s="111">
        <f t="shared" si="57"/>
        <v>43113.311036789295</v>
      </c>
    </row>
    <row r="316" spans="1:56" ht="15.75" x14ac:dyDescent="0.25">
      <c r="A316" s="53">
        <v>306</v>
      </c>
      <c r="B316" s="53"/>
      <c r="C316" s="53"/>
      <c r="D316" s="53" t="s">
        <v>135</v>
      </c>
      <c r="E316" s="53"/>
      <c r="F316" s="53"/>
      <c r="G316" s="53" t="s">
        <v>290</v>
      </c>
      <c r="H316" s="53" t="s">
        <v>291</v>
      </c>
      <c r="I316" s="85" t="s">
        <v>401</v>
      </c>
      <c r="J316" s="85" t="s">
        <v>548</v>
      </c>
      <c r="K316" s="85" t="s">
        <v>360</v>
      </c>
      <c r="L316" s="53" t="s">
        <v>216</v>
      </c>
      <c r="M316" s="53" t="s">
        <v>361</v>
      </c>
      <c r="N316" s="53"/>
      <c r="O316" s="85" t="s">
        <v>135</v>
      </c>
      <c r="P316" s="53">
        <v>1</v>
      </c>
      <c r="Q316" s="183">
        <v>0.75</v>
      </c>
      <c r="R316" s="84">
        <v>0.87050000000000005</v>
      </c>
      <c r="S316" s="53">
        <v>1.4</v>
      </c>
      <c r="T316" s="53"/>
      <c r="U316" s="53">
        <v>3</v>
      </c>
      <c r="V316" s="53">
        <v>480</v>
      </c>
      <c r="W316" s="53"/>
      <c r="X316" s="53"/>
      <c r="Y316" s="53"/>
      <c r="Z316" s="53"/>
      <c r="AA316" s="53"/>
      <c r="AB316" s="53"/>
      <c r="AC316" s="137" t="s">
        <v>124</v>
      </c>
      <c r="AD316" s="138" t="s">
        <v>118</v>
      </c>
      <c r="AE316" s="83">
        <v>8760</v>
      </c>
      <c r="AF316" s="139">
        <v>1</v>
      </c>
      <c r="AG316" s="139">
        <f t="shared" si="59"/>
        <v>0.82191780821917804</v>
      </c>
      <c r="AH316" s="139">
        <v>0.75</v>
      </c>
      <c r="AI316" s="139">
        <v>0.75</v>
      </c>
      <c r="AJ316" s="83">
        <f t="shared" si="48"/>
        <v>2880</v>
      </c>
      <c r="AK316" s="83">
        <f t="shared" si="49"/>
        <v>4320</v>
      </c>
      <c r="AL316" s="104">
        <f t="shared" si="50"/>
        <v>0.48205054566341182</v>
      </c>
      <c r="AM316" s="104">
        <f t="shared" si="51"/>
        <v>0.48205054566341182</v>
      </c>
      <c r="AN316" s="83">
        <f t="shared" si="52"/>
        <v>1388.3055715106261</v>
      </c>
      <c r="AO316" s="83">
        <f t="shared" si="53"/>
        <v>2082.458357265939</v>
      </c>
      <c r="AP316" s="182">
        <f t="shared" si="54"/>
        <v>4.737092972774267</v>
      </c>
      <c r="AQ316" s="182">
        <f t="shared" si="55"/>
        <v>7.1056394591614005</v>
      </c>
      <c r="AR316" s="85"/>
      <c r="AS316" s="85"/>
      <c r="AT316" s="53"/>
      <c r="AU316" s="53"/>
      <c r="AV316" s="53"/>
      <c r="AW316" s="53"/>
      <c r="AX316" s="53"/>
      <c r="AY316" s="53"/>
      <c r="AZ316" s="53"/>
      <c r="BA316" s="53"/>
      <c r="BB316" s="53"/>
      <c r="BC316" s="111">
        <f t="shared" si="56"/>
        <v>1388.3055715106261</v>
      </c>
      <c r="BD316" s="111">
        <f t="shared" si="57"/>
        <v>2082.458357265939</v>
      </c>
    </row>
    <row r="317" spans="1:56" ht="15.75" x14ac:dyDescent="0.25">
      <c r="A317" s="53">
        <v>307</v>
      </c>
      <c r="B317" s="53"/>
      <c r="C317" s="53"/>
      <c r="D317" s="53" t="s">
        <v>135</v>
      </c>
      <c r="E317" s="53"/>
      <c r="F317" s="53"/>
      <c r="G317" s="53" t="s">
        <v>290</v>
      </c>
      <c r="H317" s="53" t="s">
        <v>291</v>
      </c>
      <c r="I317" s="85" t="s">
        <v>401</v>
      </c>
      <c r="J317" s="85" t="s">
        <v>548</v>
      </c>
      <c r="K317" s="85" t="s">
        <v>747</v>
      </c>
      <c r="L317" s="53" t="s">
        <v>216</v>
      </c>
      <c r="M317" s="53" t="s">
        <v>295</v>
      </c>
      <c r="N317" s="53"/>
      <c r="O317" s="85" t="s">
        <v>135</v>
      </c>
      <c r="P317" s="53">
        <v>1</v>
      </c>
      <c r="Q317" s="183">
        <v>1</v>
      </c>
      <c r="R317" s="84">
        <v>0.87050000000000005</v>
      </c>
      <c r="S317" s="53">
        <v>2</v>
      </c>
      <c r="T317" s="53"/>
      <c r="U317" s="53">
        <v>3</v>
      </c>
      <c r="V317" s="53">
        <v>480</v>
      </c>
      <c r="W317" s="53"/>
      <c r="X317" s="53"/>
      <c r="Y317" s="53"/>
      <c r="Z317" s="53"/>
      <c r="AA317" s="53"/>
      <c r="AB317" s="53"/>
      <c r="AC317" s="137" t="s">
        <v>124</v>
      </c>
      <c r="AD317" s="138" t="s">
        <v>118</v>
      </c>
      <c r="AE317" s="83">
        <v>8760</v>
      </c>
      <c r="AF317" s="139">
        <v>1</v>
      </c>
      <c r="AG317" s="139">
        <f t="shared" si="59"/>
        <v>0.82191780821917804</v>
      </c>
      <c r="AH317" s="139">
        <v>0.6</v>
      </c>
      <c r="AI317" s="139">
        <v>0.6</v>
      </c>
      <c r="AJ317" s="83">
        <f t="shared" si="48"/>
        <v>2880</v>
      </c>
      <c r="AK317" s="83">
        <f t="shared" si="49"/>
        <v>4320</v>
      </c>
      <c r="AL317" s="104">
        <f t="shared" si="50"/>
        <v>0.51418724870763921</v>
      </c>
      <c r="AM317" s="104">
        <f t="shared" si="51"/>
        <v>0.51418724870763921</v>
      </c>
      <c r="AN317" s="83">
        <f t="shared" si="52"/>
        <v>1480.8592762780008</v>
      </c>
      <c r="AO317" s="83">
        <f t="shared" si="53"/>
        <v>2221.2889144170013</v>
      </c>
      <c r="AP317" s="182">
        <f t="shared" si="54"/>
        <v>5.0528991709592175</v>
      </c>
      <c r="AQ317" s="182">
        <f t="shared" si="55"/>
        <v>7.5793487564388258</v>
      </c>
      <c r="AR317" s="85"/>
      <c r="AS317" s="85"/>
      <c r="AT317" s="53"/>
      <c r="AU317" s="53"/>
      <c r="AV317" s="53"/>
      <c r="AW317" s="53"/>
      <c r="AX317" s="53"/>
      <c r="AY317" s="53"/>
      <c r="AZ317" s="53"/>
      <c r="BA317" s="53"/>
      <c r="BB317" s="53"/>
      <c r="BC317" s="111">
        <f t="shared" si="56"/>
        <v>1480.8592762780008</v>
      </c>
      <c r="BD317" s="111">
        <f t="shared" si="57"/>
        <v>2221.2889144170013</v>
      </c>
    </row>
    <row r="318" spans="1:56" ht="15.75" x14ac:dyDescent="0.25">
      <c r="A318" s="53">
        <v>308</v>
      </c>
      <c r="B318" s="53"/>
      <c r="C318" s="53"/>
      <c r="D318" s="53" t="s">
        <v>135</v>
      </c>
      <c r="E318" s="53"/>
      <c r="F318" s="53"/>
      <c r="G318" s="53" t="s">
        <v>290</v>
      </c>
      <c r="H318" s="53" t="s">
        <v>291</v>
      </c>
      <c r="I318" s="85" t="s">
        <v>401</v>
      </c>
      <c r="J318" s="85" t="s">
        <v>672</v>
      </c>
      <c r="K318" s="85" t="s">
        <v>365</v>
      </c>
      <c r="L318" s="53" t="s">
        <v>216</v>
      </c>
      <c r="M318" s="53" t="s">
        <v>295</v>
      </c>
      <c r="N318" s="53"/>
      <c r="O318" s="85" t="s">
        <v>135</v>
      </c>
      <c r="P318" s="53">
        <v>1</v>
      </c>
      <c r="Q318" s="183">
        <v>3</v>
      </c>
      <c r="R318" s="84">
        <v>0.87050000000000005</v>
      </c>
      <c r="S318" s="53">
        <v>4.8</v>
      </c>
      <c r="T318" s="53"/>
      <c r="U318" s="53">
        <v>3</v>
      </c>
      <c r="V318" s="53">
        <v>480</v>
      </c>
      <c r="W318" s="53"/>
      <c r="X318" s="53"/>
      <c r="Y318" s="53"/>
      <c r="Z318" s="53"/>
      <c r="AA318" s="53"/>
      <c r="AB318" s="53"/>
      <c r="AC318" s="137" t="s">
        <v>124</v>
      </c>
      <c r="AD318" s="138" t="s">
        <v>118</v>
      </c>
      <c r="AE318" s="83">
        <v>8760</v>
      </c>
      <c r="AF318" s="139">
        <v>1</v>
      </c>
      <c r="AG318" s="139">
        <f t="shared" si="59"/>
        <v>0.82191780821917804</v>
      </c>
      <c r="AH318" s="139">
        <v>0.6</v>
      </c>
      <c r="AI318" s="139">
        <v>0.6</v>
      </c>
      <c r="AJ318" s="83">
        <f t="shared" si="48"/>
        <v>2880</v>
      </c>
      <c r="AK318" s="83">
        <f t="shared" si="49"/>
        <v>4320</v>
      </c>
      <c r="AL318" s="104">
        <f t="shared" si="50"/>
        <v>1.5425617461229177</v>
      </c>
      <c r="AM318" s="104">
        <f t="shared" si="51"/>
        <v>1.5425617461229177</v>
      </c>
      <c r="AN318" s="83">
        <f t="shared" si="52"/>
        <v>4442.5778288340034</v>
      </c>
      <c r="AO318" s="83">
        <f t="shared" si="53"/>
        <v>6663.8667432510047</v>
      </c>
      <c r="AP318" s="182">
        <f t="shared" si="54"/>
        <v>15.158697512877657</v>
      </c>
      <c r="AQ318" s="182">
        <f t="shared" si="55"/>
        <v>22.738046269316484</v>
      </c>
      <c r="AR318" s="85"/>
      <c r="AS318" s="85"/>
      <c r="AT318" s="53"/>
      <c r="AU318" s="53"/>
      <c r="AV318" s="53"/>
      <c r="AW318" s="53"/>
      <c r="AX318" s="53"/>
      <c r="AY318" s="53"/>
      <c r="AZ318" s="53"/>
      <c r="BA318" s="53"/>
      <c r="BB318" s="53"/>
      <c r="BC318" s="111">
        <f t="shared" si="56"/>
        <v>4442.5778288340034</v>
      </c>
      <c r="BD318" s="111">
        <f t="shared" si="57"/>
        <v>6663.8667432510047</v>
      </c>
    </row>
    <row r="319" spans="1:56" ht="15.75" x14ac:dyDescent="0.25">
      <c r="A319" s="53">
        <v>309</v>
      </c>
      <c r="B319" s="53"/>
      <c r="C319" s="53"/>
      <c r="D319" s="53" t="s">
        <v>135</v>
      </c>
      <c r="E319" s="53"/>
      <c r="F319" s="53"/>
      <c r="G319" s="53" t="s">
        <v>290</v>
      </c>
      <c r="H319" s="53" t="s">
        <v>291</v>
      </c>
      <c r="I319" s="85" t="s">
        <v>401</v>
      </c>
      <c r="J319" s="85" t="s">
        <v>666</v>
      </c>
      <c r="K319" s="85" t="s">
        <v>294</v>
      </c>
      <c r="L319" s="53" t="s">
        <v>216</v>
      </c>
      <c r="M319" s="53" t="s">
        <v>295</v>
      </c>
      <c r="N319" s="53"/>
      <c r="O319" s="85" t="s">
        <v>135</v>
      </c>
      <c r="P319" s="53">
        <v>1</v>
      </c>
      <c r="Q319" s="183">
        <v>10</v>
      </c>
      <c r="R319" s="84">
        <v>0.87050000000000005</v>
      </c>
      <c r="S319" s="53">
        <v>14</v>
      </c>
      <c r="T319" s="53"/>
      <c r="U319" s="53">
        <v>3</v>
      </c>
      <c r="V319" s="53">
        <v>480</v>
      </c>
      <c r="W319" s="53"/>
      <c r="X319" s="53"/>
      <c r="Y319" s="53"/>
      <c r="Z319" s="53"/>
      <c r="AA319" s="53"/>
      <c r="AB319" s="53"/>
      <c r="AC319" s="137" t="s">
        <v>124</v>
      </c>
      <c r="AD319" s="138" t="s">
        <v>118</v>
      </c>
      <c r="AE319" s="83">
        <v>8760</v>
      </c>
      <c r="AF319" s="139">
        <v>1</v>
      </c>
      <c r="AG319" s="139">
        <f t="shared" si="59"/>
        <v>0.82191780821917804</v>
      </c>
      <c r="AH319" s="139">
        <v>0.6</v>
      </c>
      <c r="AI319" s="139">
        <v>0.6</v>
      </c>
      <c r="AJ319" s="83">
        <f t="shared" si="48"/>
        <v>2880</v>
      </c>
      <c r="AK319" s="83">
        <f t="shared" si="49"/>
        <v>4320</v>
      </c>
      <c r="AL319" s="104">
        <f t="shared" si="50"/>
        <v>5.1418724870763919</v>
      </c>
      <c r="AM319" s="104">
        <f t="shared" si="51"/>
        <v>5.1418724870763919</v>
      </c>
      <c r="AN319" s="83">
        <f t="shared" si="52"/>
        <v>14808.592762780008</v>
      </c>
      <c r="AO319" s="83">
        <f t="shared" si="53"/>
        <v>22212.889144170014</v>
      </c>
      <c r="AP319" s="182">
        <f t="shared" si="54"/>
        <v>50.528991709592177</v>
      </c>
      <c r="AQ319" s="182">
        <f t="shared" si="55"/>
        <v>75.793487564388272</v>
      </c>
      <c r="AR319" s="85"/>
      <c r="AS319" s="85"/>
      <c r="AT319" s="53"/>
      <c r="AU319" s="53"/>
      <c r="AV319" s="53"/>
      <c r="AW319" s="53"/>
      <c r="AX319" s="53"/>
      <c r="AY319" s="53"/>
      <c r="AZ319" s="53"/>
      <c r="BA319" s="53"/>
      <c r="BB319" s="53"/>
      <c r="BC319" s="111">
        <f t="shared" si="56"/>
        <v>14808.592762780008</v>
      </c>
      <c r="BD319" s="111">
        <f t="shared" si="57"/>
        <v>22212.889144170014</v>
      </c>
    </row>
    <row r="320" spans="1:56" ht="15.75" x14ac:dyDescent="0.25">
      <c r="A320" s="53">
        <v>310</v>
      </c>
      <c r="B320" s="53"/>
      <c r="C320" s="53"/>
      <c r="D320" s="53" t="s">
        <v>135</v>
      </c>
      <c r="E320" s="53"/>
      <c r="F320" s="53"/>
      <c r="G320" s="53" t="s">
        <v>290</v>
      </c>
      <c r="H320" s="53" t="s">
        <v>291</v>
      </c>
      <c r="I320" s="85" t="s">
        <v>401</v>
      </c>
      <c r="J320" s="85" t="s">
        <v>933</v>
      </c>
      <c r="K320" s="85" t="s">
        <v>360</v>
      </c>
      <c r="L320" s="53" t="s">
        <v>216</v>
      </c>
      <c r="M320" s="53" t="s">
        <v>361</v>
      </c>
      <c r="N320" s="53"/>
      <c r="O320" s="85" t="s">
        <v>135</v>
      </c>
      <c r="P320" s="53">
        <v>1</v>
      </c>
      <c r="Q320" s="183">
        <v>0.75</v>
      </c>
      <c r="R320" s="84">
        <v>0.87050000000000005</v>
      </c>
      <c r="S320" s="53">
        <v>1.4</v>
      </c>
      <c r="T320" s="53"/>
      <c r="U320" s="53">
        <v>3</v>
      </c>
      <c r="V320" s="53">
        <v>480</v>
      </c>
      <c r="W320" s="53"/>
      <c r="X320" s="53"/>
      <c r="Y320" s="53"/>
      <c r="Z320" s="53"/>
      <c r="AA320" s="53"/>
      <c r="AB320" s="53"/>
      <c r="AC320" s="137" t="s">
        <v>124</v>
      </c>
      <c r="AD320" s="138" t="s">
        <v>118</v>
      </c>
      <c r="AE320" s="83">
        <v>8760</v>
      </c>
      <c r="AF320" s="139">
        <v>1</v>
      </c>
      <c r="AG320" s="139">
        <f t="shared" si="59"/>
        <v>0.82191780821917804</v>
      </c>
      <c r="AH320" s="139">
        <v>0.75</v>
      </c>
      <c r="AI320" s="139">
        <v>0.75</v>
      </c>
      <c r="AJ320" s="83">
        <f t="shared" si="48"/>
        <v>2880</v>
      </c>
      <c r="AK320" s="83">
        <f t="shared" si="49"/>
        <v>4320</v>
      </c>
      <c r="AL320" s="104">
        <f t="shared" si="50"/>
        <v>0.48205054566341182</v>
      </c>
      <c r="AM320" s="104">
        <f t="shared" si="51"/>
        <v>0.48205054566341182</v>
      </c>
      <c r="AN320" s="83">
        <f t="shared" si="52"/>
        <v>1388.3055715106261</v>
      </c>
      <c r="AO320" s="83">
        <f t="shared" si="53"/>
        <v>2082.458357265939</v>
      </c>
      <c r="AP320" s="182">
        <f t="shared" si="54"/>
        <v>4.737092972774267</v>
      </c>
      <c r="AQ320" s="182">
        <f t="shared" si="55"/>
        <v>7.1056394591614005</v>
      </c>
      <c r="AR320" s="85"/>
      <c r="AS320" s="85"/>
      <c r="AT320" s="53"/>
      <c r="AU320" s="53"/>
      <c r="AV320" s="53"/>
      <c r="AW320" s="53"/>
      <c r="AX320" s="53"/>
      <c r="AY320" s="53"/>
      <c r="AZ320" s="53"/>
      <c r="BA320" s="53"/>
      <c r="BB320" s="53"/>
      <c r="BC320" s="111">
        <f t="shared" si="56"/>
        <v>1388.3055715106261</v>
      </c>
      <c r="BD320" s="111">
        <f t="shared" si="57"/>
        <v>2082.458357265939</v>
      </c>
    </row>
    <row r="321" spans="1:56" ht="15.75" x14ac:dyDescent="0.25">
      <c r="A321" s="53">
        <v>311</v>
      </c>
      <c r="B321" s="53"/>
      <c r="C321" s="53"/>
      <c r="D321" s="53" t="s">
        <v>135</v>
      </c>
      <c r="E321" s="53"/>
      <c r="F321" s="53"/>
      <c r="G321" s="53" t="s">
        <v>290</v>
      </c>
      <c r="H321" s="53" t="s">
        <v>291</v>
      </c>
      <c r="I321" s="85" t="s">
        <v>401</v>
      </c>
      <c r="J321" s="85" t="s">
        <v>666</v>
      </c>
      <c r="K321" s="85" t="s">
        <v>747</v>
      </c>
      <c r="L321" s="53" t="s">
        <v>216</v>
      </c>
      <c r="M321" s="53" t="s">
        <v>295</v>
      </c>
      <c r="N321" s="53"/>
      <c r="O321" s="85" t="s">
        <v>135</v>
      </c>
      <c r="P321" s="53">
        <v>1</v>
      </c>
      <c r="Q321" s="183">
        <v>3</v>
      </c>
      <c r="R321" s="84">
        <v>0.87050000000000005</v>
      </c>
      <c r="S321" s="53">
        <v>4.8</v>
      </c>
      <c r="T321" s="53"/>
      <c r="U321" s="53">
        <v>3</v>
      </c>
      <c r="V321" s="53">
        <v>480</v>
      </c>
      <c r="W321" s="53"/>
      <c r="X321" s="53"/>
      <c r="Y321" s="53"/>
      <c r="Z321" s="53"/>
      <c r="AA321" s="53"/>
      <c r="AB321" s="53"/>
      <c r="AC321" s="137" t="s">
        <v>124</v>
      </c>
      <c r="AD321" s="138" t="s">
        <v>118</v>
      </c>
      <c r="AE321" s="83">
        <v>8760</v>
      </c>
      <c r="AF321" s="139">
        <v>1</v>
      </c>
      <c r="AG321" s="139">
        <f t="shared" si="59"/>
        <v>0.82191780821917804</v>
      </c>
      <c r="AH321" s="139">
        <v>0.6</v>
      </c>
      <c r="AI321" s="139">
        <v>0.6</v>
      </c>
      <c r="AJ321" s="83">
        <f t="shared" si="48"/>
        <v>2880</v>
      </c>
      <c r="AK321" s="83">
        <f t="shared" si="49"/>
        <v>4320</v>
      </c>
      <c r="AL321" s="104">
        <f t="shared" si="50"/>
        <v>1.5425617461229177</v>
      </c>
      <c r="AM321" s="104">
        <f t="shared" si="51"/>
        <v>1.5425617461229177</v>
      </c>
      <c r="AN321" s="83">
        <f t="shared" si="52"/>
        <v>4442.5778288340034</v>
      </c>
      <c r="AO321" s="83">
        <f t="shared" si="53"/>
        <v>6663.8667432510047</v>
      </c>
      <c r="AP321" s="182">
        <f t="shared" si="54"/>
        <v>15.158697512877657</v>
      </c>
      <c r="AQ321" s="182">
        <f t="shared" si="55"/>
        <v>22.738046269316484</v>
      </c>
      <c r="AR321" s="85"/>
      <c r="AS321" s="85"/>
      <c r="AT321" s="53"/>
      <c r="AU321" s="53"/>
      <c r="AV321" s="53"/>
      <c r="AW321" s="53"/>
      <c r="AX321" s="53"/>
      <c r="AY321" s="53"/>
      <c r="AZ321" s="53"/>
      <c r="BA321" s="53"/>
      <c r="BB321" s="53"/>
      <c r="BC321" s="111">
        <f t="shared" si="56"/>
        <v>4442.5778288340034</v>
      </c>
      <c r="BD321" s="111">
        <f t="shared" si="57"/>
        <v>6663.8667432510047</v>
      </c>
    </row>
    <row r="322" spans="1:56" ht="15.75" x14ac:dyDescent="0.25">
      <c r="A322" s="53">
        <v>312</v>
      </c>
      <c r="B322" s="53"/>
      <c r="C322" s="53"/>
      <c r="D322" s="53" t="s">
        <v>135</v>
      </c>
      <c r="E322" s="53"/>
      <c r="F322" s="53"/>
      <c r="G322" s="53" t="s">
        <v>290</v>
      </c>
      <c r="H322" s="53" t="s">
        <v>291</v>
      </c>
      <c r="I322" s="85" t="s">
        <v>401</v>
      </c>
      <c r="J322" s="85" t="s">
        <v>666</v>
      </c>
      <c r="K322" s="85" t="s">
        <v>802</v>
      </c>
      <c r="L322" s="53" t="s">
        <v>216</v>
      </c>
      <c r="M322" s="53" t="s">
        <v>295</v>
      </c>
      <c r="N322" s="53"/>
      <c r="O322" s="85" t="s">
        <v>135</v>
      </c>
      <c r="P322" s="53">
        <v>1</v>
      </c>
      <c r="Q322" s="183">
        <v>3</v>
      </c>
      <c r="R322" s="84">
        <v>0.87050000000000005</v>
      </c>
      <c r="S322" s="53">
        <v>4.8</v>
      </c>
      <c r="T322" s="53"/>
      <c r="U322" s="53">
        <v>3</v>
      </c>
      <c r="V322" s="53">
        <v>480</v>
      </c>
      <c r="W322" s="53"/>
      <c r="X322" s="53"/>
      <c r="Y322" s="53"/>
      <c r="Z322" s="53"/>
      <c r="AA322" s="53"/>
      <c r="AB322" s="53"/>
      <c r="AC322" s="137" t="s">
        <v>124</v>
      </c>
      <c r="AD322" s="138" t="s">
        <v>118</v>
      </c>
      <c r="AE322" s="83">
        <v>8760</v>
      </c>
      <c r="AF322" s="139">
        <v>1</v>
      </c>
      <c r="AG322" s="139">
        <f t="shared" si="59"/>
        <v>0.82191780821917804</v>
      </c>
      <c r="AH322" s="139">
        <v>0.6</v>
      </c>
      <c r="AI322" s="139">
        <v>0.6</v>
      </c>
      <c r="AJ322" s="83">
        <f t="shared" si="48"/>
        <v>2880</v>
      </c>
      <c r="AK322" s="83">
        <f t="shared" si="49"/>
        <v>4320</v>
      </c>
      <c r="AL322" s="104">
        <f t="shared" si="50"/>
        <v>1.5425617461229177</v>
      </c>
      <c r="AM322" s="104">
        <f t="shared" si="51"/>
        <v>1.5425617461229177</v>
      </c>
      <c r="AN322" s="83">
        <f t="shared" si="52"/>
        <v>4442.5778288340034</v>
      </c>
      <c r="AO322" s="83">
        <f t="shared" si="53"/>
        <v>6663.8667432510047</v>
      </c>
      <c r="AP322" s="182">
        <f t="shared" si="54"/>
        <v>15.158697512877657</v>
      </c>
      <c r="AQ322" s="182">
        <f t="shared" si="55"/>
        <v>22.738046269316484</v>
      </c>
      <c r="AR322" s="85"/>
      <c r="AS322" s="85"/>
      <c r="AT322" s="53"/>
      <c r="AU322" s="53"/>
      <c r="AV322" s="53"/>
      <c r="AW322" s="53"/>
      <c r="AX322" s="53"/>
      <c r="AY322" s="53"/>
      <c r="AZ322" s="53"/>
      <c r="BA322" s="53"/>
      <c r="BB322" s="53"/>
      <c r="BC322" s="111">
        <f t="shared" si="56"/>
        <v>4442.5778288340034</v>
      </c>
      <c r="BD322" s="111">
        <f t="shared" si="57"/>
        <v>6663.8667432510047</v>
      </c>
    </row>
    <row r="323" spans="1:56" ht="15.75" x14ac:dyDescent="0.25">
      <c r="A323" s="53">
        <v>313</v>
      </c>
      <c r="B323" s="53"/>
      <c r="C323" s="53"/>
      <c r="D323" s="53" t="s">
        <v>135</v>
      </c>
      <c r="E323" s="53"/>
      <c r="F323" s="53"/>
      <c r="G323" s="53" t="s">
        <v>290</v>
      </c>
      <c r="H323" s="53" t="s">
        <v>291</v>
      </c>
      <c r="I323" s="85" t="s">
        <v>401</v>
      </c>
      <c r="J323" s="85" t="s">
        <v>666</v>
      </c>
      <c r="K323" s="85" t="s">
        <v>803</v>
      </c>
      <c r="L323" s="53" t="s">
        <v>216</v>
      </c>
      <c r="M323" s="53" t="s">
        <v>295</v>
      </c>
      <c r="N323" s="53"/>
      <c r="O323" s="85" t="s">
        <v>135</v>
      </c>
      <c r="P323" s="53">
        <v>1</v>
      </c>
      <c r="Q323" s="183">
        <v>3</v>
      </c>
      <c r="R323" s="84">
        <v>0.87050000000000005</v>
      </c>
      <c r="S323" s="53">
        <v>4.8</v>
      </c>
      <c r="T323" s="53"/>
      <c r="U323" s="53">
        <v>3</v>
      </c>
      <c r="V323" s="53">
        <v>480</v>
      </c>
      <c r="W323" s="53"/>
      <c r="X323" s="53"/>
      <c r="Y323" s="53"/>
      <c r="Z323" s="53"/>
      <c r="AA323" s="53"/>
      <c r="AB323" s="53"/>
      <c r="AC323" s="137" t="s">
        <v>124</v>
      </c>
      <c r="AD323" s="138" t="s">
        <v>118</v>
      </c>
      <c r="AE323" s="83">
        <v>8760</v>
      </c>
      <c r="AF323" s="139">
        <v>1</v>
      </c>
      <c r="AG323" s="139">
        <f t="shared" si="59"/>
        <v>0.82191780821917804</v>
      </c>
      <c r="AH323" s="139">
        <v>0.6</v>
      </c>
      <c r="AI323" s="139">
        <v>0.6</v>
      </c>
      <c r="AJ323" s="83">
        <f t="shared" si="48"/>
        <v>2880</v>
      </c>
      <c r="AK323" s="83">
        <f t="shared" si="49"/>
        <v>4320</v>
      </c>
      <c r="AL323" s="104">
        <f t="shared" si="50"/>
        <v>1.5425617461229177</v>
      </c>
      <c r="AM323" s="104">
        <f t="shared" si="51"/>
        <v>1.5425617461229177</v>
      </c>
      <c r="AN323" s="83">
        <f t="shared" si="52"/>
        <v>4442.5778288340034</v>
      </c>
      <c r="AO323" s="83">
        <f t="shared" si="53"/>
        <v>6663.8667432510047</v>
      </c>
      <c r="AP323" s="182">
        <f t="shared" si="54"/>
        <v>15.158697512877657</v>
      </c>
      <c r="AQ323" s="182">
        <f t="shared" si="55"/>
        <v>22.738046269316484</v>
      </c>
      <c r="AR323" s="85"/>
      <c r="AS323" s="85"/>
      <c r="AT323" s="53"/>
      <c r="AU323" s="53"/>
      <c r="AV323" s="53"/>
      <c r="AW323" s="53"/>
      <c r="AX323" s="53"/>
      <c r="AY323" s="53"/>
      <c r="AZ323" s="53"/>
      <c r="BA323" s="53"/>
      <c r="BB323" s="53"/>
      <c r="BC323" s="111">
        <f t="shared" si="56"/>
        <v>4442.5778288340034</v>
      </c>
      <c r="BD323" s="111">
        <f t="shared" si="57"/>
        <v>6663.8667432510047</v>
      </c>
    </row>
    <row r="324" spans="1:56" ht="15.75" x14ac:dyDescent="0.25">
      <c r="A324" s="53">
        <v>314</v>
      </c>
      <c r="B324" s="53"/>
      <c r="C324" s="53"/>
      <c r="D324" s="53" t="s">
        <v>135</v>
      </c>
      <c r="E324" s="53"/>
      <c r="F324" s="53"/>
      <c r="G324" s="53" t="s">
        <v>290</v>
      </c>
      <c r="H324" s="53" t="s">
        <v>291</v>
      </c>
      <c r="I324" s="85" t="s">
        <v>401</v>
      </c>
      <c r="J324" s="85" t="s">
        <v>666</v>
      </c>
      <c r="K324" s="85" t="s">
        <v>805</v>
      </c>
      <c r="L324" s="53" t="s">
        <v>216</v>
      </c>
      <c r="M324" s="53" t="s">
        <v>295</v>
      </c>
      <c r="N324" s="53"/>
      <c r="O324" s="85" t="s">
        <v>135</v>
      </c>
      <c r="P324" s="53">
        <v>1</v>
      </c>
      <c r="Q324" s="183">
        <v>3</v>
      </c>
      <c r="R324" s="84">
        <v>0.87050000000000005</v>
      </c>
      <c r="S324" s="53">
        <v>4.8</v>
      </c>
      <c r="T324" s="53"/>
      <c r="U324" s="53">
        <v>3</v>
      </c>
      <c r="V324" s="53">
        <v>480</v>
      </c>
      <c r="W324" s="53"/>
      <c r="X324" s="53"/>
      <c r="Y324" s="53"/>
      <c r="Z324" s="53"/>
      <c r="AA324" s="53"/>
      <c r="AB324" s="53"/>
      <c r="AC324" s="137" t="s">
        <v>124</v>
      </c>
      <c r="AD324" s="138" t="s">
        <v>118</v>
      </c>
      <c r="AE324" s="83">
        <v>8760</v>
      </c>
      <c r="AF324" s="139">
        <v>1</v>
      </c>
      <c r="AG324" s="139">
        <f t="shared" si="59"/>
        <v>0.82191780821917804</v>
      </c>
      <c r="AH324" s="139">
        <v>0.6</v>
      </c>
      <c r="AI324" s="139">
        <v>0.6</v>
      </c>
      <c r="AJ324" s="83">
        <f t="shared" si="48"/>
        <v>2880</v>
      </c>
      <c r="AK324" s="83">
        <f t="shared" si="49"/>
        <v>4320</v>
      </c>
      <c r="AL324" s="104">
        <f t="shared" si="50"/>
        <v>1.5425617461229177</v>
      </c>
      <c r="AM324" s="104">
        <f t="shared" si="51"/>
        <v>1.5425617461229177</v>
      </c>
      <c r="AN324" s="83">
        <f t="shared" si="52"/>
        <v>4442.5778288340034</v>
      </c>
      <c r="AO324" s="83">
        <f t="shared" si="53"/>
        <v>6663.8667432510047</v>
      </c>
      <c r="AP324" s="182">
        <f t="shared" si="54"/>
        <v>15.158697512877657</v>
      </c>
      <c r="AQ324" s="182">
        <f t="shared" si="55"/>
        <v>22.738046269316484</v>
      </c>
      <c r="AR324" s="85"/>
      <c r="AS324" s="85"/>
      <c r="AT324" s="53"/>
      <c r="AU324" s="53"/>
      <c r="AV324" s="53"/>
      <c r="AW324" s="53"/>
      <c r="AX324" s="53"/>
      <c r="AY324" s="53"/>
      <c r="AZ324" s="53"/>
      <c r="BA324" s="53"/>
      <c r="BB324" s="53"/>
      <c r="BC324" s="111">
        <f t="shared" si="56"/>
        <v>4442.5778288340034</v>
      </c>
      <c r="BD324" s="111">
        <f t="shared" si="57"/>
        <v>6663.8667432510047</v>
      </c>
    </row>
    <row r="325" spans="1:56" ht="15.75" x14ac:dyDescent="0.25">
      <c r="A325" s="53">
        <v>315</v>
      </c>
      <c r="B325" s="53"/>
      <c r="C325" s="53"/>
      <c r="D325" s="53" t="s">
        <v>135</v>
      </c>
      <c r="E325" s="53"/>
      <c r="F325" s="53"/>
      <c r="G325" s="53" t="s">
        <v>290</v>
      </c>
      <c r="H325" s="53" t="s">
        <v>291</v>
      </c>
      <c r="I325" s="85" t="s">
        <v>401</v>
      </c>
      <c r="J325" s="85" t="s">
        <v>672</v>
      </c>
      <c r="K325" s="85" t="s">
        <v>696</v>
      </c>
      <c r="L325" s="53" t="s">
        <v>216</v>
      </c>
      <c r="M325" s="53" t="s">
        <v>295</v>
      </c>
      <c r="N325" s="53"/>
      <c r="O325" s="85" t="s">
        <v>135</v>
      </c>
      <c r="P325" s="53">
        <v>1</v>
      </c>
      <c r="Q325" s="183">
        <v>7.5</v>
      </c>
      <c r="R325" s="84">
        <v>0.87050000000000005</v>
      </c>
      <c r="S325" s="53">
        <v>10</v>
      </c>
      <c r="T325" s="53"/>
      <c r="U325" s="53">
        <v>3</v>
      </c>
      <c r="V325" s="53">
        <v>480</v>
      </c>
      <c r="W325" s="53"/>
      <c r="X325" s="53"/>
      <c r="Y325" s="53"/>
      <c r="Z325" s="53"/>
      <c r="AA325" s="53"/>
      <c r="AB325" s="53"/>
      <c r="AC325" s="137" t="s">
        <v>124</v>
      </c>
      <c r="AD325" s="138" t="s">
        <v>118</v>
      </c>
      <c r="AE325" s="83">
        <v>8760</v>
      </c>
      <c r="AF325" s="139">
        <v>1</v>
      </c>
      <c r="AG325" s="139">
        <f t="shared" si="59"/>
        <v>0.82191780821917804</v>
      </c>
      <c r="AH325" s="139">
        <v>0.6</v>
      </c>
      <c r="AI325" s="139">
        <v>0.6</v>
      </c>
      <c r="AJ325" s="83">
        <f t="shared" si="48"/>
        <v>2880</v>
      </c>
      <c r="AK325" s="83">
        <f t="shared" si="49"/>
        <v>4320</v>
      </c>
      <c r="AL325" s="104">
        <f t="shared" si="50"/>
        <v>3.8564043653072941</v>
      </c>
      <c r="AM325" s="104">
        <f t="shared" si="51"/>
        <v>3.8564043653072941</v>
      </c>
      <c r="AN325" s="83">
        <f t="shared" si="52"/>
        <v>11106.444572085007</v>
      </c>
      <c r="AO325" s="83">
        <f t="shared" si="53"/>
        <v>16659.666858127512</v>
      </c>
      <c r="AP325" s="182">
        <f t="shared" si="54"/>
        <v>37.896743782194136</v>
      </c>
      <c r="AQ325" s="182">
        <f t="shared" si="55"/>
        <v>56.845115673291204</v>
      </c>
      <c r="AR325" s="85"/>
      <c r="AS325" s="85"/>
      <c r="AT325" s="53"/>
      <c r="AU325" s="53"/>
      <c r="AV325" s="53"/>
      <c r="AW325" s="53"/>
      <c r="AX325" s="53"/>
      <c r="AY325" s="53"/>
      <c r="AZ325" s="53"/>
      <c r="BA325" s="53"/>
      <c r="BB325" s="53"/>
      <c r="BC325" s="111">
        <f t="shared" si="56"/>
        <v>11106.444572085007</v>
      </c>
      <c r="BD325" s="111">
        <f t="shared" si="57"/>
        <v>16659.666858127512</v>
      </c>
    </row>
    <row r="326" spans="1:56" ht="15.75" x14ac:dyDescent="0.25">
      <c r="A326" s="53">
        <v>316</v>
      </c>
      <c r="B326" s="53"/>
      <c r="C326" s="53"/>
      <c r="D326" s="53" t="s">
        <v>135</v>
      </c>
      <c r="E326" s="53"/>
      <c r="F326" s="53"/>
      <c r="G326" s="53" t="s">
        <v>290</v>
      </c>
      <c r="H326" s="53" t="s">
        <v>291</v>
      </c>
      <c r="I326" s="85" t="s">
        <v>401</v>
      </c>
      <c r="J326" s="85" t="s">
        <v>674</v>
      </c>
      <c r="K326" s="85" t="s">
        <v>673</v>
      </c>
      <c r="L326" s="53" t="s">
        <v>216</v>
      </c>
      <c r="M326" s="53" t="s">
        <v>295</v>
      </c>
      <c r="N326" s="53"/>
      <c r="O326" s="85" t="s">
        <v>135</v>
      </c>
      <c r="P326" s="53">
        <v>1</v>
      </c>
      <c r="Q326" s="183">
        <v>7.5</v>
      </c>
      <c r="R326" s="84">
        <v>0.87050000000000005</v>
      </c>
      <c r="S326" s="53">
        <v>10</v>
      </c>
      <c r="T326" s="53"/>
      <c r="U326" s="53">
        <v>3</v>
      </c>
      <c r="V326" s="53">
        <v>480</v>
      </c>
      <c r="W326" s="53"/>
      <c r="X326" s="53"/>
      <c r="Y326" s="53"/>
      <c r="Z326" s="53"/>
      <c r="AA326" s="53"/>
      <c r="AB326" s="53"/>
      <c r="AC326" s="137" t="s">
        <v>124</v>
      </c>
      <c r="AD326" s="138" t="s">
        <v>118</v>
      </c>
      <c r="AE326" s="83">
        <v>8760</v>
      </c>
      <c r="AF326" s="139">
        <v>1</v>
      </c>
      <c r="AG326" s="139">
        <f t="shared" si="59"/>
        <v>0.82191780821917804</v>
      </c>
      <c r="AH326" s="139">
        <v>0.6</v>
      </c>
      <c r="AI326" s="139">
        <v>0.6</v>
      </c>
      <c r="AJ326" s="83">
        <f t="shared" si="48"/>
        <v>2880</v>
      </c>
      <c r="AK326" s="83">
        <f t="shared" si="49"/>
        <v>4320</v>
      </c>
      <c r="AL326" s="104">
        <f t="shared" si="50"/>
        <v>3.8564043653072941</v>
      </c>
      <c r="AM326" s="104">
        <f t="shared" si="51"/>
        <v>3.8564043653072941</v>
      </c>
      <c r="AN326" s="83">
        <f t="shared" si="52"/>
        <v>11106.444572085007</v>
      </c>
      <c r="AO326" s="83">
        <f t="shared" si="53"/>
        <v>16659.666858127512</v>
      </c>
      <c r="AP326" s="182">
        <f t="shared" si="54"/>
        <v>37.896743782194136</v>
      </c>
      <c r="AQ326" s="182">
        <f t="shared" si="55"/>
        <v>56.845115673291204</v>
      </c>
      <c r="AR326" s="85"/>
      <c r="AS326" s="85"/>
      <c r="AT326" s="53"/>
      <c r="AU326" s="53"/>
      <c r="AV326" s="53"/>
      <c r="AW326" s="53"/>
      <c r="AX326" s="53"/>
      <c r="AY326" s="53"/>
      <c r="AZ326" s="53"/>
      <c r="BA326" s="53"/>
      <c r="BB326" s="53"/>
      <c r="BC326" s="111">
        <f t="shared" si="56"/>
        <v>11106.444572085007</v>
      </c>
      <c r="BD326" s="111">
        <f t="shared" si="57"/>
        <v>16659.666858127512</v>
      </c>
    </row>
    <row r="327" spans="1:56" ht="15.75" x14ac:dyDescent="0.25">
      <c r="A327" s="53">
        <v>317</v>
      </c>
      <c r="B327" s="53"/>
      <c r="C327" s="53"/>
      <c r="D327" s="53" t="s">
        <v>135</v>
      </c>
      <c r="E327" s="53"/>
      <c r="F327" s="53"/>
      <c r="G327" s="53" t="s">
        <v>290</v>
      </c>
      <c r="H327" s="53" t="s">
        <v>291</v>
      </c>
      <c r="I327" s="85" t="s">
        <v>401</v>
      </c>
      <c r="J327" s="85" t="s">
        <v>577</v>
      </c>
      <c r="K327" s="85" t="s">
        <v>294</v>
      </c>
      <c r="L327" s="53" t="s">
        <v>216</v>
      </c>
      <c r="M327" s="53" t="s">
        <v>295</v>
      </c>
      <c r="N327" s="53"/>
      <c r="O327" s="85" t="s">
        <v>135</v>
      </c>
      <c r="P327" s="53">
        <v>1</v>
      </c>
      <c r="Q327" s="183">
        <v>15</v>
      </c>
      <c r="R327" s="84">
        <v>0.87850000000000006</v>
      </c>
      <c r="S327" s="53">
        <v>21</v>
      </c>
      <c r="T327" s="53"/>
      <c r="U327" s="53">
        <v>3</v>
      </c>
      <c r="V327" s="53">
        <v>480</v>
      </c>
      <c r="W327" s="53"/>
      <c r="X327" s="53"/>
      <c r="Y327" s="53"/>
      <c r="Z327" s="53"/>
      <c r="AA327" s="53"/>
      <c r="AB327" s="53"/>
      <c r="AC327" s="137" t="s">
        <v>124</v>
      </c>
      <c r="AD327" s="138" t="s">
        <v>118</v>
      </c>
      <c r="AE327" s="83">
        <v>8760</v>
      </c>
      <c r="AF327" s="139">
        <v>1</v>
      </c>
      <c r="AG327" s="139">
        <f t="shared" si="59"/>
        <v>0.82191780821917804</v>
      </c>
      <c r="AH327" s="139">
        <v>0.6</v>
      </c>
      <c r="AI327" s="139">
        <v>0.6</v>
      </c>
      <c r="AJ327" s="83">
        <f t="shared" si="48"/>
        <v>2880</v>
      </c>
      <c r="AK327" s="83">
        <f t="shared" si="49"/>
        <v>4320</v>
      </c>
      <c r="AL327" s="104">
        <f t="shared" si="50"/>
        <v>7.642572566875355</v>
      </c>
      <c r="AM327" s="104">
        <f t="shared" si="51"/>
        <v>7.642572566875355</v>
      </c>
      <c r="AN327" s="83">
        <f t="shared" si="52"/>
        <v>22010.608992601021</v>
      </c>
      <c r="AO327" s="83">
        <f t="shared" si="53"/>
        <v>33015.913488901533</v>
      </c>
      <c r="AP327" s="182">
        <f t="shared" si="54"/>
        <v>75.103279368013645</v>
      </c>
      <c r="AQ327" s="182">
        <f t="shared" si="55"/>
        <v>112.65491905202047</v>
      </c>
      <c r="AR327" s="85"/>
      <c r="AS327" s="85"/>
      <c r="AT327" s="53"/>
      <c r="AU327" s="53"/>
      <c r="AV327" s="53"/>
      <c r="AW327" s="53"/>
      <c r="AX327" s="53"/>
      <c r="AY327" s="53"/>
      <c r="AZ327" s="53"/>
      <c r="BA327" s="53"/>
      <c r="BB327" s="53"/>
      <c r="BC327" s="111">
        <f t="shared" si="56"/>
        <v>22010.608992601021</v>
      </c>
      <c r="BD327" s="111">
        <f t="shared" si="57"/>
        <v>33015.913488901533</v>
      </c>
    </row>
    <row r="328" spans="1:56" ht="15.75" x14ac:dyDescent="0.25">
      <c r="A328" s="53">
        <v>318</v>
      </c>
      <c r="B328" s="53"/>
      <c r="C328" s="53"/>
      <c r="D328" s="53" t="s">
        <v>135</v>
      </c>
      <c r="E328" s="53"/>
      <c r="F328" s="53"/>
      <c r="G328" s="53" t="s">
        <v>290</v>
      </c>
      <c r="H328" s="53" t="s">
        <v>291</v>
      </c>
      <c r="I328" s="85" t="s">
        <v>401</v>
      </c>
      <c r="J328" s="85" t="s">
        <v>577</v>
      </c>
      <c r="K328" s="85" t="s">
        <v>360</v>
      </c>
      <c r="L328" s="53" t="s">
        <v>216</v>
      </c>
      <c r="M328" s="53" t="s">
        <v>295</v>
      </c>
      <c r="N328" s="53"/>
      <c r="O328" s="85" t="s">
        <v>135</v>
      </c>
      <c r="P328" s="53">
        <v>1</v>
      </c>
      <c r="Q328" s="183">
        <v>0.75</v>
      </c>
      <c r="R328" s="84">
        <v>0.87050000000000005</v>
      </c>
      <c r="S328" s="53">
        <v>1.4</v>
      </c>
      <c r="T328" s="53"/>
      <c r="U328" s="53">
        <v>3</v>
      </c>
      <c r="V328" s="53">
        <v>480</v>
      </c>
      <c r="W328" s="53"/>
      <c r="X328" s="53"/>
      <c r="Y328" s="53"/>
      <c r="Z328" s="53"/>
      <c r="AA328" s="53"/>
      <c r="AB328" s="53"/>
      <c r="AC328" s="137" t="s">
        <v>124</v>
      </c>
      <c r="AD328" s="138" t="s">
        <v>118</v>
      </c>
      <c r="AE328" s="83">
        <v>8760</v>
      </c>
      <c r="AF328" s="139">
        <v>1</v>
      </c>
      <c r="AG328" s="139">
        <f t="shared" si="59"/>
        <v>0.82191780821917804</v>
      </c>
      <c r="AH328" s="139">
        <v>0.75</v>
      </c>
      <c r="AI328" s="139">
        <v>0.75</v>
      </c>
      <c r="AJ328" s="83">
        <f t="shared" si="48"/>
        <v>2880</v>
      </c>
      <c r="AK328" s="83">
        <f t="shared" si="49"/>
        <v>4320</v>
      </c>
      <c r="AL328" s="104">
        <f t="shared" si="50"/>
        <v>0.48205054566341182</v>
      </c>
      <c r="AM328" s="104">
        <f t="shared" si="51"/>
        <v>0.48205054566341182</v>
      </c>
      <c r="AN328" s="83">
        <f t="shared" si="52"/>
        <v>1388.3055715106261</v>
      </c>
      <c r="AO328" s="83">
        <f t="shared" si="53"/>
        <v>2082.458357265939</v>
      </c>
      <c r="AP328" s="182">
        <f t="shared" si="54"/>
        <v>4.737092972774267</v>
      </c>
      <c r="AQ328" s="182">
        <f t="shared" si="55"/>
        <v>7.1056394591614005</v>
      </c>
      <c r="AR328" s="85"/>
      <c r="AS328" s="85"/>
      <c r="AT328" s="53"/>
      <c r="AU328" s="53"/>
      <c r="AV328" s="53"/>
      <c r="AW328" s="53"/>
      <c r="AX328" s="53"/>
      <c r="AY328" s="53"/>
      <c r="AZ328" s="53"/>
      <c r="BA328" s="53"/>
      <c r="BB328" s="53"/>
      <c r="BC328" s="111">
        <f t="shared" si="56"/>
        <v>1388.3055715106261</v>
      </c>
      <c r="BD328" s="111">
        <f t="shared" si="57"/>
        <v>2082.458357265939</v>
      </c>
    </row>
    <row r="329" spans="1:56" ht="15.75" x14ac:dyDescent="0.25">
      <c r="A329" s="53">
        <v>319</v>
      </c>
      <c r="B329" s="53"/>
      <c r="C329" s="53"/>
      <c r="D329" s="53" t="s">
        <v>135</v>
      </c>
      <c r="E329" s="53"/>
      <c r="F329" s="53"/>
      <c r="G329" s="53" t="s">
        <v>290</v>
      </c>
      <c r="H329" s="53" t="s">
        <v>291</v>
      </c>
      <c r="I329" s="85" t="s">
        <v>401</v>
      </c>
      <c r="J329" s="85" t="s">
        <v>577</v>
      </c>
      <c r="K329" s="85" t="s">
        <v>365</v>
      </c>
      <c r="L329" s="53" t="s">
        <v>216</v>
      </c>
      <c r="M329" s="53" t="s">
        <v>295</v>
      </c>
      <c r="N329" s="53"/>
      <c r="O329" s="85" t="s">
        <v>135</v>
      </c>
      <c r="P329" s="53">
        <v>1</v>
      </c>
      <c r="Q329" s="183">
        <v>3</v>
      </c>
      <c r="R329" s="84">
        <v>0.87050000000000005</v>
      </c>
      <c r="S329" s="53">
        <v>4.8</v>
      </c>
      <c r="T329" s="53"/>
      <c r="U329" s="53">
        <v>3</v>
      </c>
      <c r="V329" s="53">
        <v>480</v>
      </c>
      <c r="W329" s="53"/>
      <c r="X329" s="53"/>
      <c r="Y329" s="53"/>
      <c r="Z329" s="53"/>
      <c r="AA329" s="53"/>
      <c r="AB329" s="53"/>
      <c r="AC329" s="137" t="s">
        <v>124</v>
      </c>
      <c r="AD329" s="138" t="s">
        <v>118</v>
      </c>
      <c r="AE329" s="83">
        <v>8760</v>
      </c>
      <c r="AF329" s="139">
        <v>1</v>
      </c>
      <c r="AG329" s="139">
        <f t="shared" si="59"/>
        <v>0.82191780821917804</v>
      </c>
      <c r="AH329" s="139">
        <v>0.6</v>
      </c>
      <c r="AI329" s="139">
        <v>0.6</v>
      </c>
      <c r="AJ329" s="83">
        <f t="shared" si="48"/>
        <v>2880</v>
      </c>
      <c r="AK329" s="83">
        <f t="shared" si="49"/>
        <v>4320</v>
      </c>
      <c r="AL329" s="104">
        <f t="shared" si="50"/>
        <v>1.5425617461229177</v>
      </c>
      <c r="AM329" s="104">
        <f t="shared" si="51"/>
        <v>1.5425617461229177</v>
      </c>
      <c r="AN329" s="83">
        <f t="shared" si="52"/>
        <v>4442.5778288340034</v>
      </c>
      <c r="AO329" s="83">
        <f t="shared" si="53"/>
        <v>6663.8667432510047</v>
      </c>
      <c r="AP329" s="182">
        <f t="shared" si="54"/>
        <v>15.158697512877657</v>
      </c>
      <c r="AQ329" s="182">
        <f t="shared" si="55"/>
        <v>22.738046269316484</v>
      </c>
      <c r="AR329" s="85"/>
      <c r="AS329" s="85"/>
      <c r="AT329" s="53"/>
      <c r="AU329" s="53"/>
      <c r="AV329" s="53"/>
      <c r="AW329" s="53"/>
      <c r="AX329" s="53"/>
      <c r="AY329" s="53"/>
      <c r="AZ329" s="53"/>
      <c r="BA329" s="53"/>
      <c r="BB329" s="53"/>
      <c r="BC329" s="111">
        <f t="shared" si="56"/>
        <v>4442.5778288340034</v>
      </c>
      <c r="BD329" s="111">
        <f t="shared" si="57"/>
        <v>6663.8667432510047</v>
      </c>
    </row>
    <row r="330" spans="1:56" ht="15.75" x14ac:dyDescent="0.25">
      <c r="A330" s="53">
        <v>320</v>
      </c>
      <c r="B330" s="53"/>
      <c r="C330" s="53"/>
      <c r="D330" s="53" t="s">
        <v>135</v>
      </c>
      <c r="E330" s="53"/>
      <c r="F330" s="53"/>
      <c r="G330" s="53" t="s">
        <v>290</v>
      </c>
      <c r="H330" s="53" t="s">
        <v>291</v>
      </c>
      <c r="I330" s="85" t="s">
        <v>401</v>
      </c>
      <c r="J330" s="85" t="s">
        <v>556</v>
      </c>
      <c r="K330" s="85" t="s">
        <v>294</v>
      </c>
      <c r="L330" s="53" t="s">
        <v>216</v>
      </c>
      <c r="M330" s="53" t="s">
        <v>295</v>
      </c>
      <c r="N330" s="53"/>
      <c r="O330" s="85" t="s">
        <v>135</v>
      </c>
      <c r="P330" s="53">
        <v>1</v>
      </c>
      <c r="Q330" s="183">
        <v>15</v>
      </c>
      <c r="R330" s="84">
        <v>0.87850000000000006</v>
      </c>
      <c r="S330" s="53">
        <v>21</v>
      </c>
      <c r="T330" s="53"/>
      <c r="U330" s="53">
        <v>3</v>
      </c>
      <c r="V330" s="53">
        <v>480</v>
      </c>
      <c r="W330" s="53"/>
      <c r="X330" s="53"/>
      <c r="Y330" s="53"/>
      <c r="Z330" s="53"/>
      <c r="AA330" s="53"/>
      <c r="AB330" s="53"/>
      <c r="AC330" s="137" t="s">
        <v>124</v>
      </c>
      <c r="AD330" s="138" t="s">
        <v>118</v>
      </c>
      <c r="AE330" s="83">
        <v>8760</v>
      </c>
      <c r="AF330" s="139">
        <v>1</v>
      </c>
      <c r="AG330" s="139">
        <f t="shared" si="59"/>
        <v>0.82191780821917804</v>
      </c>
      <c r="AH330" s="139">
        <v>0.75</v>
      </c>
      <c r="AI330" s="139">
        <v>0.75</v>
      </c>
      <c r="AJ330" s="83">
        <f t="shared" si="48"/>
        <v>2880</v>
      </c>
      <c r="AK330" s="83">
        <f t="shared" si="49"/>
        <v>4320</v>
      </c>
      <c r="AL330" s="104">
        <f t="shared" si="50"/>
        <v>9.5532157085941947</v>
      </c>
      <c r="AM330" s="104">
        <f t="shared" si="51"/>
        <v>9.5532157085941947</v>
      </c>
      <c r="AN330" s="83">
        <f t="shared" si="52"/>
        <v>27513.261240751279</v>
      </c>
      <c r="AO330" s="83">
        <f t="shared" si="53"/>
        <v>41269.891861126918</v>
      </c>
      <c r="AP330" s="182">
        <f t="shared" si="54"/>
        <v>93.879099210017074</v>
      </c>
      <c r="AQ330" s="182">
        <f t="shared" si="55"/>
        <v>140.8186488150256</v>
      </c>
      <c r="AR330" s="85"/>
      <c r="AS330" s="85"/>
      <c r="AT330" s="53"/>
      <c r="AU330" s="53"/>
      <c r="AV330" s="53"/>
      <c r="AW330" s="53"/>
      <c r="AX330" s="53"/>
      <c r="AY330" s="53"/>
      <c r="AZ330" s="53"/>
      <c r="BA330" s="53"/>
      <c r="BB330" s="53"/>
      <c r="BC330" s="111">
        <f t="shared" si="56"/>
        <v>27513.261240751279</v>
      </c>
      <c r="BD330" s="111">
        <f t="shared" si="57"/>
        <v>41269.891861126918</v>
      </c>
    </row>
    <row r="331" spans="1:56" ht="15.75" x14ac:dyDescent="0.25">
      <c r="A331" s="53">
        <v>321</v>
      </c>
      <c r="B331" s="53"/>
      <c r="C331" s="53"/>
      <c r="D331" s="53" t="s">
        <v>135</v>
      </c>
      <c r="E331" s="53"/>
      <c r="F331" s="53"/>
      <c r="G331" s="53" t="s">
        <v>290</v>
      </c>
      <c r="H331" s="53" t="s">
        <v>291</v>
      </c>
      <c r="I331" s="85" t="s">
        <v>401</v>
      </c>
      <c r="J331" s="85" t="s">
        <v>556</v>
      </c>
      <c r="K331" s="85" t="s">
        <v>360</v>
      </c>
      <c r="L331" s="53" t="s">
        <v>216</v>
      </c>
      <c r="M331" s="53" t="s">
        <v>361</v>
      </c>
      <c r="N331" s="53"/>
      <c r="O331" s="85" t="s">
        <v>135</v>
      </c>
      <c r="P331" s="53">
        <v>1</v>
      </c>
      <c r="Q331" s="183">
        <v>0.75</v>
      </c>
      <c r="R331" s="84">
        <v>0.87050000000000005</v>
      </c>
      <c r="S331" s="53">
        <v>1.4</v>
      </c>
      <c r="T331" s="53"/>
      <c r="U331" s="53">
        <v>3</v>
      </c>
      <c r="V331" s="53">
        <v>480</v>
      </c>
      <c r="W331" s="53"/>
      <c r="X331" s="53"/>
      <c r="Y331" s="53"/>
      <c r="Z331" s="53"/>
      <c r="AA331" s="53"/>
      <c r="AB331" s="53"/>
      <c r="AC331" s="137" t="s">
        <v>124</v>
      </c>
      <c r="AD331" s="138" t="s">
        <v>118</v>
      </c>
      <c r="AE331" s="83">
        <v>8760</v>
      </c>
      <c r="AF331" s="139">
        <v>1</v>
      </c>
      <c r="AG331" s="139">
        <f t="shared" si="59"/>
        <v>0.82191780821917804</v>
      </c>
      <c r="AH331" s="139">
        <v>0.75</v>
      </c>
      <c r="AI331" s="139">
        <v>0.75</v>
      </c>
      <c r="AJ331" s="83">
        <f t="shared" ref="AJ331:AJ394" si="60">$AE331*AG331*$AA$3</f>
        <v>2880</v>
      </c>
      <c r="AK331" s="83">
        <f t="shared" ref="AK331:AK394" si="61">$AE331*AG331*$AA$4</f>
        <v>4320</v>
      </c>
      <c r="AL331" s="104">
        <f t="shared" ref="AL331:AL394" si="62">IF($Q331&gt;0,((($P331*$Q331*$AP$2/$R331)*$AH331)),IF($U331=1,($AV331*$AF331*$AH331),((1.732*($V331/1000)*$S331*$AP$3*$AF331*$AH331*$P331))))</f>
        <v>0.48205054566341182</v>
      </c>
      <c r="AM331" s="104">
        <f t="shared" ref="AM331:AM394" si="63">IF($Q331&gt;0,((($P331*$Q331*$AP$2/$R331)*$AI331)),IF($U331=1,($AV331*$AF331*$AI331),((1.732*($V331/1000)*$S331*$AP$3*$AF331*$AI331*$P331))))</f>
        <v>0.48205054566341182</v>
      </c>
      <c r="AN331" s="83">
        <f t="shared" ref="AN331:AN394" si="64">AL331*AJ331</f>
        <v>1388.3055715106261</v>
      </c>
      <c r="AO331" s="83">
        <f t="shared" ref="AO331:AO394" si="65">AM331*AK331</f>
        <v>2082.458357265939</v>
      </c>
      <c r="AP331" s="182">
        <f t="shared" ref="AP331:AP394" si="66">AN331*$AP$7/1000000</f>
        <v>4.737092972774267</v>
      </c>
      <c r="AQ331" s="182">
        <f t="shared" ref="AQ331:AQ394" si="67">AO331*$AQ$7/1000000</f>
        <v>7.1056394591614005</v>
      </c>
      <c r="AR331" s="85"/>
      <c r="AS331" s="85"/>
      <c r="AT331" s="53"/>
      <c r="AU331" s="53"/>
      <c r="AV331" s="53"/>
      <c r="AW331" s="53"/>
      <c r="AX331" s="53"/>
      <c r="AY331" s="53"/>
      <c r="AZ331" s="53"/>
      <c r="BA331" s="53"/>
      <c r="BB331" s="53"/>
      <c r="BC331" s="111">
        <f t="shared" ref="BC331:BC394" si="68">AN331</f>
        <v>1388.3055715106261</v>
      </c>
      <c r="BD331" s="111">
        <f t="shared" ref="BD331:BD394" si="69">AO331</f>
        <v>2082.458357265939</v>
      </c>
    </row>
    <row r="332" spans="1:56" ht="15.75" x14ac:dyDescent="0.25">
      <c r="A332" s="53">
        <v>322</v>
      </c>
      <c r="B332" s="53"/>
      <c r="C332" s="53"/>
      <c r="D332" s="53" t="s">
        <v>135</v>
      </c>
      <c r="E332" s="53"/>
      <c r="F332" s="53"/>
      <c r="G332" s="53" t="s">
        <v>290</v>
      </c>
      <c r="H332" s="53" t="s">
        <v>291</v>
      </c>
      <c r="I332" s="85" t="s">
        <v>401</v>
      </c>
      <c r="J332" s="85" t="s">
        <v>556</v>
      </c>
      <c r="K332" s="85" t="s">
        <v>747</v>
      </c>
      <c r="L332" s="53" t="s">
        <v>216</v>
      </c>
      <c r="M332" s="53" t="s">
        <v>295</v>
      </c>
      <c r="N332" s="53"/>
      <c r="O332" s="85" t="s">
        <v>135</v>
      </c>
      <c r="P332" s="53">
        <v>1</v>
      </c>
      <c r="Q332" s="183">
        <v>3</v>
      </c>
      <c r="R332" s="84">
        <v>0.87050000000000005</v>
      </c>
      <c r="S332" s="53">
        <v>2</v>
      </c>
      <c r="T332" s="53"/>
      <c r="U332" s="53">
        <v>3</v>
      </c>
      <c r="V332" s="53">
        <v>480</v>
      </c>
      <c r="W332" s="53"/>
      <c r="X332" s="53"/>
      <c r="Y332" s="53"/>
      <c r="Z332" s="53"/>
      <c r="AA332" s="53"/>
      <c r="AB332" s="53"/>
      <c r="AC332" s="137" t="s">
        <v>124</v>
      </c>
      <c r="AD332" s="138" t="s">
        <v>118</v>
      </c>
      <c r="AE332" s="83">
        <v>8760</v>
      </c>
      <c r="AF332" s="139">
        <v>1</v>
      </c>
      <c r="AG332" s="139">
        <f t="shared" si="59"/>
        <v>0.82191780821917804</v>
      </c>
      <c r="AH332" s="139">
        <v>0.6</v>
      </c>
      <c r="AI332" s="139">
        <v>0.6</v>
      </c>
      <c r="AJ332" s="83">
        <f t="shared" si="60"/>
        <v>2880</v>
      </c>
      <c r="AK332" s="83">
        <f t="shared" si="61"/>
        <v>4320</v>
      </c>
      <c r="AL332" s="104">
        <f t="shared" si="62"/>
        <v>1.5425617461229177</v>
      </c>
      <c r="AM332" s="104">
        <f t="shared" si="63"/>
        <v>1.5425617461229177</v>
      </c>
      <c r="AN332" s="83">
        <f t="shared" si="64"/>
        <v>4442.5778288340034</v>
      </c>
      <c r="AO332" s="83">
        <f t="shared" si="65"/>
        <v>6663.8667432510047</v>
      </c>
      <c r="AP332" s="182">
        <f t="shared" si="66"/>
        <v>15.158697512877657</v>
      </c>
      <c r="AQ332" s="182">
        <f t="shared" si="67"/>
        <v>22.738046269316484</v>
      </c>
      <c r="AR332" s="85"/>
      <c r="AS332" s="85"/>
      <c r="AT332" s="53"/>
      <c r="AU332" s="53"/>
      <c r="AV332" s="53"/>
      <c r="AW332" s="53"/>
      <c r="AX332" s="53"/>
      <c r="AY332" s="53"/>
      <c r="AZ332" s="53"/>
      <c r="BA332" s="53"/>
      <c r="BB332" s="53"/>
      <c r="BC332" s="111">
        <f t="shared" si="68"/>
        <v>4442.5778288340034</v>
      </c>
      <c r="BD332" s="111">
        <f t="shared" si="69"/>
        <v>6663.8667432510047</v>
      </c>
    </row>
    <row r="333" spans="1:56" ht="15.75" x14ac:dyDescent="0.25">
      <c r="A333" s="53">
        <v>323</v>
      </c>
      <c r="B333" s="53"/>
      <c r="C333" s="53"/>
      <c r="D333" s="53" t="s">
        <v>135</v>
      </c>
      <c r="E333" s="53"/>
      <c r="F333" s="53"/>
      <c r="G333" s="53" t="s">
        <v>290</v>
      </c>
      <c r="H333" s="53" t="s">
        <v>291</v>
      </c>
      <c r="I333" s="85" t="s">
        <v>401</v>
      </c>
      <c r="J333" s="85" t="s">
        <v>556</v>
      </c>
      <c r="K333" s="85" t="s">
        <v>802</v>
      </c>
      <c r="L333" s="53" t="s">
        <v>216</v>
      </c>
      <c r="M333" s="53" t="s">
        <v>295</v>
      </c>
      <c r="N333" s="53"/>
      <c r="O333" s="85" t="s">
        <v>135</v>
      </c>
      <c r="P333" s="53">
        <v>1</v>
      </c>
      <c r="Q333" s="183">
        <v>3</v>
      </c>
      <c r="R333" s="84">
        <v>0.87050000000000005</v>
      </c>
      <c r="S333" s="53">
        <v>4.8</v>
      </c>
      <c r="T333" s="53"/>
      <c r="U333" s="53">
        <v>3</v>
      </c>
      <c r="V333" s="53">
        <v>480</v>
      </c>
      <c r="W333" s="53"/>
      <c r="X333" s="53"/>
      <c r="Y333" s="53"/>
      <c r="Z333" s="53"/>
      <c r="AA333" s="53"/>
      <c r="AB333" s="53"/>
      <c r="AC333" s="137" t="s">
        <v>124</v>
      </c>
      <c r="AD333" s="138" t="s">
        <v>118</v>
      </c>
      <c r="AE333" s="83">
        <v>8760</v>
      </c>
      <c r="AF333" s="139">
        <v>1</v>
      </c>
      <c r="AG333" s="139">
        <f t="shared" si="59"/>
        <v>0.82191780821917804</v>
      </c>
      <c r="AH333" s="139">
        <v>0.6</v>
      </c>
      <c r="AI333" s="139">
        <v>0.6</v>
      </c>
      <c r="AJ333" s="83">
        <f t="shared" si="60"/>
        <v>2880</v>
      </c>
      <c r="AK333" s="83">
        <f t="shared" si="61"/>
        <v>4320</v>
      </c>
      <c r="AL333" s="104">
        <f t="shared" si="62"/>
        <v>1.5425617461229177</v>
      </c>
      <c r="AM333" s="104">
        <f t="shared" si="63"/>
        <v>1.5425617461229177</v>
      </c>
      <c r="AN333" s="83">
        <f t="shared" si="64"/>
        <v>4442.5778288340034</v>
      </c>
      <c r="AO333" s="83">
        <f t="shared" si="65"/>
        <v>6663.8667432510047</v>
      </c>
      <c r="AP333" s="182">
        <f t="shared" si="66"/>
        <v>15.158697512877657</v>
      </c>
      <c r="AQ333" s="182">
        <f t="shared" si="67"/>
        <v>22.738046269316484</v>
      </c>
      <c r="AR333" s="85"/>
      <c r="AS333" s="85"/>
      <c r="AT333" s="53"/>
      <c r="AU333" s="53"/>
      <c r="AV333" s="53"/>
      <c r="AW333" s="53"/>
      <c r="AX333" s="53"/>
      <c r="AY333" s="53"/>
      <c r="AZ333" s="53"/>
      <c r="BA333" s="53"/>
      <c r="BB333" s="53"/>
      <c r="BC333" s="111">
        <f t="shared" si="68"/>
        <v>4442.5778288340034</v>
      </c>
      <c r="BD333" s="111">
        <f t="shared" si="69"/>
        <v>6663.8667432510047</v>
      </c>
    </row>
    <row r="334" spans="1:56" ht="15.75" x14ac:dyDescent="0.25">
      <c r="A334" s="53">
        <v>324</v>
      </c>
      <c r="B334" s="53"/>
      <c r="C334" s="53"/>
      <c r="D334" s="53" t="s">
        <v>135</v>
      </c>
      <c r="E334" s="53"/>
      <c r="F334" s="53"/>
      <c r="G334" s="53" t="s">
        <v>290</v>
      </c>
      <c r="H334" s="53" t="s">
        <v>291</v>
      </c>
      <c r="I334" s="85" t="s">
        <v>401</v>
      </c>
      <c r="J334" s="85" t="s">
        <v>556</v>
      </c>
      <c r="K334" s="85" t="s">
        <v>803</v>
      </c>
      <c r="L334" s="53" t="s">
        <v>216</v>
      </c>
      <c r="M334" s="53" t="s">
        <v>295</v>
      </c>
      <c r="N334" s="53"/>
      <c r="O334" s="85" t="s">
        <v>135</v>
      </c>
      <c r="P334" s="53">
        <v>1</v>
      </c>
      <c r="Q334" s="183">
        <v>3</v>
      </c>
      <c r="R334" s="84">
        <v>0.87050000000000005</v>
      </c>
      <c r="S334" s="53">
        <v>4.8</v>
      </c>
      <c r="T334" s="53"/>
      <c r="U334" s="53">
        <v>3</v>
      </c>
      <c r="V334" s="53">
        <v>480</v>
      </c>
      <c r="W334" s="53"/>
      <c r="X334" s="53"/>
      <c r="Y334" s="53"/>
      <c r="Z334" s="53"/>
      <c r="AA334" s="53"/>
      <c r="AB334" s="53"/>
      <c r="AC334" s="137" t="s">
        <v>124</v>
      </c>
      <c r="AD334" s="138" t="s">
        <v>118</v>
      </c>
      <c r="AE334" s="83">
        <v>8760</v>
      </c>
      <c r="AF334" s="139">
        <v>1</v>
      </c>
      <c r="AG334" s="139">
        <f t="shared" si="59"/>
        <v>0.82191780821917804</v>
      </c>
      <c r="AH334" s="139">
        <v>0.6</v>
      </c>
      <c r="AI334" s="139">
        <v>0.6</v>
      </c>
      <c r="AJ334" s="83">
        <f t="shared" si="60"/>
        <v>2880</v>
      </c>
      <c r="AK334" s="83">
        <f t="shared" si="61"/>
        <v>4320</v>
      </c>
      <c r="AL334" s="104">
        <f t="shared" si="62"/>
        <v>1.5425617461229177</v>
      </c>
      <c r="AM334" s="104">
        <f t="shared" si="63"/>
        <v>1.5425617461229177</v>
      </c>
      <c r="AN334" s="83">
        <f t="shared" si="64"/>
        <v>4442.5778288340034</v>
      </c>
      <c r="AO334" s="83">
        <f t="shared" si="65"/>
        <v>6663.8667432510047</v>
      </c>
      <c r="AP334" s="182">
        <f t="shared" si="66"/>
        <v>15.158697512877657</v>
      </c>
      <c r="AQ334" s="182">
        <f t="shared" si="67"/>
        <v>22.738046269316484</v>
      </c>
      <c r="AR334" s="85"/>
      <c r="AS334" s="85"/>
      <c r="AT334" s="53"/>
      <c r="AU334" s="53"/>
      <c r="AV334" s="53"/>
      <c r="AW334" s="53"/>
      <c r="AX334" s="53"/>
      <c r="AY334" s="53"/>
      <c r="AZ334" s="53"/>
      <c r="BA334" s="53"/>
      <c r="BB334" s="53"/>
      <c r="BC334" s="111">
        <f t="shared" si="68"/>
        <v>4442.5778288340034</v>
      </c>
      <c r="BD334" s="111">
        <f t="shared" si="69"/>
        <v>6663.8667432510047</v>
      </c>
    </row>
    <row r="335" spans="1:56" ht="15.75" x14ac:dyDescent="0.25">
      <c r="A335" s="53">
        <v>325</v>
      </c>
      <c r="B335" s="53"/>
      <c r="C335" s="53"/>
      <c r="D335" s="53" t="s">
        <v>135</v>
      </c>
      <c r="E335" s="53"/>
      <c r="F335" s="53"/>
      <c r="G335" s="53" t="s">
        <v>290</v>
      </c>
      <c r="H335" s="53" t="s">
        <v>291</v>
      </c>
      <c r="I335" s="85" t="s">
        <v>401</v>
      </c>
      <c r="J335" s="85" t="s">
        <v>697</v>
      </c>
      <c r="K335" s="85" t="s">
        <v>696</v>
      </c>
      <c r="L335" s="53" t="s">
        <v>216</v>
      </c>
      <c r="M335" s="53" t="s">
        <v>295</v>
      </c>
      <c r="N335" s="53"/>
      <c r="O335" s="85" t="s">
        <v>135</v>
      </c>
      <c r="P335" s="53">
        <v>1</v>
      </c>
      <c r="Q335" s="183">
        <v>7.5</v>
      </c>
      <c r="R335" s="84">
        <v>0.87050000000000005</v>
      </c>
      <c r="S335" s="53">
        <v>10</v>
      </c>
      <c r="T335" s="53"/>
      <c r="U335" s="53">
        <v>3</v>
      </c>
      <c r="V335" s="53">
        <v>480</v>
      </c>
      <c r="W335" s="53"/>
      <c r="X335" s="53"/>
      <c r="Y335" s="53"/>
      <c r="Z335" s="53"/>
      <c r="AA335" s="53"/>
      <c r="AB335" s="53"/>
      <c r="AC335" s="137" t="s">
        <v>124</v>
      </c>
      <c r="AD335" s="138" t="s">
        <v>118</v>
      </c>
      <c r="AE335" s="83">
        <v>8760</v>
      </c>
      <c r="AF335" s="139">
        <v>1</v>
      </c>
      <c r="AG335" s="139">
        <f t="shared" si="59"/>
        <v>0.82191780821917804</v>
      </c>
      <c r="AH335" s="139">
        <v>0.6</v>
      </c>
      <c r="AI335" s="139">
        <v>0.6</v>
      </c>
      <c r="AJ335" s="83">
        <f t="shared" si="60"/>
        <v>2880</v>
      </c>
      <c r="AK335" s="83">
        <f t="shared" si="61"/>
        <v>4320</v>
      </c>
      <c r="AL335" s="104">
        <f t="shared" si="62"/>
        <v>3.8564043653072941</v>
      </c>
      <c r="AM335" s="104">
        <f t="shared" si="63"/>
        <v>3.8564043653072941</v>
      </c>
      <c r="AN335" s="83">
        <f t="shared" si="64"/>
        <v>11106.444572085007</v>
      </c>
      <c r="AO335" s="83">
        <f t="shared" si="65"/>
        <v>16659.666858127512</v>
      </c>
      <c r="AP335" s="182">
        <f t="shared" si="66"/>
        <v>37.896743782194136</v>
      </c>
      <c r="AQ335" s="182">
        <f t="shared" si="67"/>
        <v>56.845115673291204</v>
      </c>
      <c r="AR335" s="85"/>
      <c r="AS335" s="85"/>
      <c r="AT335" s="53"/>
      <c r="AU335" s="53"/>
      <c r="AV335" s="53"/>
      <c r="AW335" s="53"/>
      <c r="AX335" s="53"/>
      <c r="AY335" s="53"/>
      <c r="AZ335" s="53"/>
      <c r="BA335" s="53"/>
      <c r="BB335" s="53"/>
      <c r="BC335" s="111">
        <f t="shared" si="68"/>
        <v>11106.444572085007</v>
      </c>
      <c r="BD335" s="111">
        <f t="shared" si="69"/>
        <v>16659.666858127512</v>
      </c>
    </row>
    <row r="336" spans="1:56" ht="15.75" x14ac:dyDescent="0.25">
      <c r="A336" s="53">
        <v>326</v>
      </c>
      <c r="B336" s="53"/>
      <c r="C336" s="53"/>
      <c r="D336" s="53" t="s">
        <v>135</v>
      </c>
      <c r="E336" s="53"/>
      <c r="F336" s="53"/>
      <c r="G336" s="53" t="s">
        <v>290</v>
      </c>
      <c r="H336" s="53" t="s">
        <v>291</v>
      </c>
      <c r="I336" s="85" t="s">
        <v>401</v>
      </c>
      <c r="J336" s="85" t="s">
        <v>640</v>
      </c>
      <c r="K336" s="85" t="s">
        <v>294</v>
      </c>
      <c r="L336" s="53" t="s">
        <v>216</v>
      </c>
      <c r="M336" s="53" t="s">
        <v>295</v>
      </c>
      <c r="N336" s="53"/>
      <c r="O336" s="85" t="s">
        <v>135</v>
      </c>
      <c r="P336" s="53">
        <v>1</v>
      </c>
      <c r="Q336" s="183">
        <v>10</v>
      </c>
      <c r="R336" s="84">
        <v>0.87050000000000005</v>
      </c>
      <c r="S336" s="53">
        <v>14</v>
      </c>
      <c r="T336" s="53"/>
      <c r="U336" s="53">
        <v>3</v>
      </c>
      <c r="V336" s="53">
        <v>480</v>
      </c>
      <c r="W336" s="53"/>
      <c r="X336" s="53"/>
      <c r="Y336" s="53"/>
      <c r="Z336" s="53"/>
      <c r="AA336" s="53"/>
      <c r="AB336" s="53"/>
      <c r="AC336" s="137" t="s">
        <v>124</v>
      </c>
      <c r="AD336" s="138" t="s">
        <v>118</v>
      </c>
      <c r="AE336" s="83">
        <v>8760</v>
      </c>
      <c r="AF336" s="139">
        <v>1</v>
      </c>
      <c r="AG336" s="139">
        <f t="shared" si="59"/>
        <v>0.82191780821917804</v>
      </c>
      <c r="AH336" s="139">
        <v>0.6</v>
      </c>
      <c r="AI336" s="139">
        <v>0.6</v>
      </c>
      <c r="AJ336" s="83">
        <f t="shared" si="60"/>
        <v>2880</v>
      </c>
      <c r="AK336" s="83">
        <f t="shared" si="61"/>
        <v>4320</v>
      </c>
      <c r="AL336" s="104">
        <f t="shared" si="62"/>
        <v>5.1418724870763919</v>
      </c>
      <c r="AM336" s="104">
        <f t="shared" si="63"/>
        <v>5.1418724870763919</v>
      </c>
      <c r="AN336" s="83">
        <f t="shared" si="64"/>
        <v>14808.592762780008</v>
      </c>
      <c r="AO336" s="83">
        <f t="shared" si="65"/>
        <v>22212.889144170014</v>
      </c>
      <c r="AP336" s="182">
        <f t="shared" si="66"/>
        <v>50.528991709592177</v>
      </c>
      <c r="AQ336" s="182">
        <f t="shared" si="67"/>
        <v>75.793487564388272</v>
      </c>
      <c r="AR336" s="85"/>
      <c r="AS336" s="85"/>
      <c r="AT336" s="53"/>
      <c r="AU336" s="53"/>
      <c r="AV336" s="53"/>
      <c r="AW336" s="53"/>
      <c r="AX336" s="53"/>
      <c r="AY336" s="53"/>
      <c r="AZ336" s="53"/>
      <c r="BA336" s="53"/>
      <c r="BB336" s="53"/>
      <c r="BC336" s="111">
        <f t="shared" si="68"/>
        <v>14808.592762780008</v>
      </c>
      <c r="BD336" s="111">
        <f t="shared" si="69"/>
        <v>22212.889144170014</v>
      </c>
    </row>
    <row r="337" spans="1:56" ht="15.75" x14ac:dyDescent="0.25">
      <c r="A337" s="53">
        <v>327</v>
      </c>
      <c r="B337" s="53"/>
      <c r="C337" s="53"/>
      <c r="D337" s="53" t="s">
        <v>135</v>
      </c>
      <c r="E337" s="53"/>
      <c r="F337" s="53"/>
      <c r="G337" s="53" t="s">
        <v>290</v>
      </c>
      <c r="H337" s="53" t="s">
        <v>291</v>
      </c>
      <c r="I337" s="85" t="s">
        <v>401</v>
      </c>
      <c r="J337" s="85" t="s">
        <v>640</v>
      </c>
      <c r="K337" s="85" t="s">
        <v>747</v>
      </c>
      <c r="L337" s="53" t="s">
        <v>216</v>
      </c>
      <c r="M337" s="53" t="s">
        <v>295</v>
      </c>
      <c r="N337" s="53"/>
      <c r="O337" s="85" t="s">
        <v>135</v>
      </c>
      <c r="P337" s="53">
        <v>1</v>
      </c>
      <c r="Q337" s="183">
        <v>3</v>
      </c>
      <c r="R337" s="84">
        <v>0.87050000000000005</v>
      </c>
      <c r="S337" s="53">
        <v>4.8</v>
      </c>
      <c r="T337" s="53"/>
      <c r="U337" s="53">
        <v>3</v>
      </c>
      <c r="V337" s="53">
        <v>480</v>
      </c>
      <c r="W337" s="53"/>
      <c r="X337" s="53"/>
      <c r="Y337" s="53"/>
      <c r="Z337" s="53"/>
      <c r="AA337" s="53"/>
      <c r="AB337" s="53"/>
      <c r="AC337" s="137" t="s">
        <v>124</v>
      </c>
      <c r="AD337" s="138" t="s">
        <v>118</v>
      </c>
      <c r="AE337" s="83">
        <v>8760</v>
      </c>
      <c r="AF337" s="139">
        <v>1</v>
      </c>
      <c r="AG337" s="139">
        <f t="shared" si="59"/>
        <v>0.82191780821917804</v>
      </c>
      <c r="AH337" s="139">
        <v>0.6</v>
      </c>
      <c r="AI337" s="139">
        <v>0.6</v>
      </c>
      <c r="AJ337" s="83">
        <f t="shared" si="60"/>
        <v>2880</v>
      </c>
      <c r="AK337" s="83">
        <f t="shared" si="61"/>
        <v>4320</v>
      </c>
      <c r="AL337" s="104">
        <f t="shared" si="62"/>
        <v>1.5425617461229177</v>
      </c>
      <c r="AM337" s="104">
        <f t="shared" si="63"/>
        <v>1.5425617461229177</v>
      </c>
      <c r="AN337" s="83">
        <f t="shared" si="64"/>
        <v>4442.5778288340034</v>
      </c>
      <c r="AO337" s="83">
        <f t="shared" si="65"/>
        <v>6663.8667432510047</v>
      </c>
      <c r="AP337" s="182">
        <f t="shared" si="66"/>
        <v>15.158697512877657</v>
      </c>
      <c r="AQ337" s="182">
        <f t="shared" si="67"/>
        <v>22.738046269316484</v>
      </c>
      <c r="AR337" s="85"/>
      <c r="AS337" s="85"/>
      <c r="AT337" s="53"/>
      <c r="AU337" s="53"/>
      <c r="AV337" s="53"/>
      <c r="AW337" s="53"/>
      <c r="AX337" s="53"/>
      <c r="AY337" s="53"/>
      <c r="AZ337" s="53"/>
      <c r="BA337" s="53"/>
      <c r="BB337" s="53"/>
      <c r="BC337" s="111">
        <f t="shared" si="68"/>
        <v>4442.5778288340034</v>
      </c>
      <c r="BD337" s="111">
        <f t="shared" si="69"/>
        <v>6663.8667432510047</v>
      </c>
    </row>
    <row r="338" spans="1:56" ht="15.75" x14ac:dyDescent="0.25">
      <c r="A338" s="53">
        <v>328</v>
      </c>
      <c r="B338" s="53"/>
      <c r="C338" s="53"/>
      <c r="D338" s="53" t="s">
        <v>135</v>
      </c>
      <c r="E338" s="53"/>
      <c r="F338" s="53"/>
      <c r="G338" s="53" t="s">
        <v>290</v>
      </c>
      <c r="H338" s="53" t="s">
        <v>291</v>
      </c>
      <c r="I338" s="85" t="s">
        <v>401</v>
      </c>
      <c r="J338" s="85" t="s">
        <v>640</v>
      </c>
      <c r="K338" s="85" t="s">
        <v>802</v>
      </c>
      <c r="L338" s="53" t="s">
        <v>216</v>
      </c>
      <c r="M338" s="53" t="s">
        <v>295</v>
      </c>
      <c r="N338" s="53"/>
      <c r="O338" s="85" t="s">
        <v>135</v>
      </c>
      <c r="P338" s="53">
        <v>1</v>
      </c>
      <c r="Q338" s="183">
        <v>3</v>
      </c>
      <c r="R338" s="84">
        <v>0.87050000000000005</v>
      </c>
      <c r="S338" s="53">
        <v>4.8</v>
      </c>
      <c r="T338" s="53"/>
      <c r="U338" s="53">
        <v>3</v>
      </c>
      <c r="V338" s="53">
        <v>480</v>
      </c>
      <c r="W338" s="53"/>
      <c r="X338" s="53"/>
      <c r="Y338" s="53"/>
      <c r="Z338" s="53"/>
      <c r="AA338" s="53"/>
      <c r="AB338" s="53"/>
      <c r="AC338" s="137" t="s">
        <v>124</v>
      </c>
      <c r="AD338" s="138" t="s">
        <v>118</v>
      </c>
      <c r="AE338" s="83">
        <v>8760</v>
      </c>
      <c r="AF338" s="139">
        <v>1</v>
      </c>
      <c r="AG338" s="139">
        <f t="shared" si="59"/>
        <v>0.82191780821917804</v>
      </c>
      <c r="AH338" s="139">
        <v>0.6</v>
      </c>
      <c r="AI338" s="139">
        <v>0.6</v>
      </c>
      <c r="AJ338" s="83">
        <f t="shared" si="60"/>
        <v>2880</v>
      </c>
      <c r="AK338" s="83">
        <f t="shared" si="61"/>
        <v>4320</v>
      </c>
      <c r="AL338" s="104">
        <f t="shared" si="62"/>
        <v>1.5425617461229177</v>
      </c>
      <c r="AM338" s="104">
        <f t="shared" si="63"/>
        <v>1.5425617461229177</v>
      </c>
      <c r="AN338" s="83">
        <f t="shared" si="64"/>
        <v>4442.5778288340034</v>
      </c>
      <c r="AO338" s="83">
        <f t="shared" si="65"/>
        <v>6663.8667432510047</v>
      </c>
      <c r="AP338" s="182">
        <f t="shared" si="66"/>
        <v>15.158697512877657</v>
      </c>
      <c r="AQ338" s="182">
        <f t="shared" si="67"/>
        <v>22.738046269316484</v>
      </c>
      <c r="AR338" s="85"/>
      <c r="AS338" s="85"/>
      <c r="AT338" s="53"/>
      <c r="AU338" s="53"/>
      <c r="AV338" s="53"/>
      <c r="AW338" s="53"/>
      <c r="AX338" s="53"/>
      <c r="AY338" s="53"/>
      <c r="AZ338" s="53"/>
      <c r="BA338" s="53"/>
      <c r="BB338" s="53"/>
      <c r="BC338" s="111">
        <f t="shared" si="68"/>
        <v>4442.5778288340034</v>
      </c>
      <c r="BD338" s="111">
        <f t="shared" si="69"/>
        <v>6663.8667432510047</v>
      </c>
    </row>
    <row r="339" spans="1:56" ht="15.75" x14ac:dyDescent="0.25">
      <c r="A339" s="53">
        <v>329</v>
      </c>
      <c r="B339" s="53"/>
      <c r="C339" s="53"/>
      <c r="D339" s="53" t="s">
        <v>135</v>
      </c>
      <c r="E339" s="53"/>
      <c r="F339" s="53"/>
      <c r="G339" s="53" t="s">
        <v>290</v>
      </c>
      <c r="H339" s="53" t="s">
        <v>291</v>
      </c>
      <c r="I339" s="85" t="s">
        <v>401</v>
      </c>
      <c r="J339" s="85" t="s">
        <v>640</v>
      </c>
      <c r="K339" s="85" t="s">
        <v>803</v>
      </c>
      <c r="L339" s="53" t="s">
        <v>216</v>
      </c>
      <c r="M339" s="53" t="s">
        <v>295</v>
      </c>
      <c r="N339" s="53"/>
      <c r="O339" s="85" t="s">
        <v>135</v>
      </c>
      <c r="P339" s="53">
        <v>1</v>
      </c>
      <c r="Q339" s="183">
        <v>3</v>
      </c>
      <c r="R339" s="84">
        <v>0.87050000000000005</v>
      </c>
      <c r="S339" s="53">
        <v>4.8</v>
      </c>
      <c r="T339" s="53"/>
      <c r="U339" s="53">
        <v>3</v>
      </c>
      <c r="V339" s="53">
        <v>480</v>
      </c>
      <c r="W339" s="53"/>
      <c r="X339" s="53"/>
      <c r="Y339" s="53"/>
      <c r="Z339" s="53"/>
      <c r="AA339" s="53"/>
      <c r="AB339" s="53"/>
      <c r="AC339" s="137" t="s">
        <v>124</v>
      </c>
      <c r="AD339" s="138" t="s">
        <v>118</v>
      </c>
      <c r="AE339" s="83">
        <v>8760</v>
      </c>
      <c r="AF339" s="139">
        <v>1</v>
      </c>
      <c r="AG339" s="139">
        <f t="shared" ref="AG339:AG369" si="70">$AB$7</f>
        <v>0.82191780821917804</v>
      </c>
      <c r="AH339" s="139">
        <v>0.6</v>
      </c>
      <c r="AI339" s="139">
        <v>0.6</v>
      </c>
      <c r="AJ339" s="83">
        <f t="shared" si="60"/>
        <v>2880</v>
      </c>
      <c r="AK339" s="83">
        <f t="shared" si="61"/>
        <v>4320</v>
      </c>
      <c r="AL339" s="104">
        <f t="shared" si="62"/>
        <v>1.5425617461229177</v>
      </c>
      <c r="AM339" s="104">
        <f t="shared" si="63"/>
        <v>1.5425617461229177</v>
      </c>
      <c r="AN339" s="83">
        <f t="shared" si="64"/>
        <v>4442.5778288340034</v>
      </c>
      <c r="AO339" s="83">
        <f t="shared" si="65"/>
        <v>6663.8667432510047</v>
      </c>
      <c r="AP339" s="182">
        <f t="shared" si="66"/>
        <v>15.158697512877657</v>
      </c>
      <c r="AQ339" s="182">
        <f t="shared" si="67"/>
        <v>22.738046269316484</v>
      </c>
      <c r="AR339" s="85"/>
      <c r="AS339" s="85"/>
      <c r="AT339" s="53"/>
      <c r="AU339" s="53"/>
      <c r="AV339" s="53"/>
      <c r="AW339" s="53"/>
      <c r="AX339" s="53"/>
      <c r="AY339" s="53"/>
      <c r="AZ339" s="53"/>
      <c r="BA339" s="53"/>
      <c r="BB339" s="53"/>
      <c r="BC339" s="111">
        <f t="shared" si="68"/>
        <v>4442.5778288340034</v>
      </c>
      <c r="BD339" s="111">
        <f t="shared" si="69"/>
        <v>6663.8667432510047</v>
      </c>
    </row>
    <row r="340" spans="1:56" ht="15.75" x14ac:dyDescent="0.25">
      <c r="A340" s="53">
        <v>330</v>
      </c>
      <c r="B340" s="53"/>
      <c r="C340" s="53"/>
      <c r="D340" s="53" t="s">
        <v>135</v>
      </c>
      <c r="E340" s="53"/>
      <c r="F340" s="53"/>
      <c r="G340" s="53" t="s">
        <v>290</v>
      </c>
      <c r="H340" s="53" t="s">
        <v>291</v>
      </c>
      <c r="I340" s="85" t="s">
        <v>401</v>
      </c>
      <c r="J340" s="85" t="s">
        <v>640</v>
      </c>
      <c r="K340" s="85" t="s">
        <v>805</v>
      </c>
      <c r="L340" s="53" t="s">
        <v>216</v>
      </c>
      <c r="M340" s="53" t="s">
        <v>295</v>
      </c>
      <c r="N340" s="53"/>
      <c r="O340" s="85" t="s">
        <v>135</v>
      </c>
      <c r="P340" s="53">
        <v>1</v>
      </c>
      <c r="Q340" s="183">
        <v>3</v>
      </c>
      <c r="R340" s="84">
        <v>0.87050000000000005</v>
      </c>
      <c r="S340" s="53">
        <v>4.8</v>
      </c>
      <c r="T340" s="53"/>
      <c r="U340" s="53">
        <v>3</v>
      </c>
      <c r="V340" s="53">
        <v>480</v>
      </c>
      <c r="W340" s="53"/>
      <c r="X340" s="53"/>
      <c r="Y340" s="53"/>
      <c r="Z340" s="53"/>
      <c r="AA340" s="53"/>
      <c r="AB340" s="53"/>
      <c r="AC340" s="137" t="s">
        <v>124</v>
      </c>
      <c r="AD340" s="138" t="s">
        <v>118</v>
      </c>
      <c r="AE340" s="83">
        <v>8760</v>
      </c>
      <c r="AF340" s="139">
        <v>1</v>
      </c>
      <c r="AG340" s="139">
        <f t="shared" si="70"/>
        <v>0.82191780821917804</v>
      </c>
      <c r="AH340" s="139">
        <v>0.6</v>
      </c>
      <c r="AI340" s="139">
        <v>0.6</v>
      </c>
      <c r="AJ340" s="83">
        <f t="shared" si="60"/>
        <v>2880</v>
      </c>
      <c r="AK340" s="83">
        <f t="shared" si="61"/>
        <v>4320</v>
      </c>
      <c r="AL340" s="104">
        <f t="shared" si="62"/>
        <v>1.5425617461229177</v>
      </c>
      <c r="AM340" s="104">
        <f t="shared" si="63"/>
        <v>1.5425617461229177</v>
      </c>
      <c r="AN340" s="83">
        <f t="shared" si="64"/>
        <v>4442.5778288340034</v>
      </c>
      <c r="AO340" s="83">
        <f t="shared" si="65"/>
        <v>6663.8667432510047</v>
      </c>
      <c r="AP340" s="182">
        <f t="shared" si="66"/>
        <v>15.158697512877657</v>
      </c>
      <c r="AQ340" s="182">
        <f t="shared" si="67"/>
        <v>22.738046269316484</v>
      </c>
      <c r="AR340" s="85"/>
      <c r="AS340" s="85"/>
      <c r="AT340" s="53"/>
      <c r="AU340" s="53"/>
      <c r="AV340" s="53"/>
      <c r="AW340" s="53"/>
      <c r="AX340" s="53"/>
      <c r="AY340" s="53"/>
      <c r="AZ340" s="53"/>
      <c r="BA340" s="53"/>
      <c r="BB340" s="53"/>
      <c r="BC340" s="111">
        <f t="shared" si="68"/>
        <v>4442.5778288340034</v>
      </c>
      <c r="BD340" s="111">
        <f t="shared" si="69"/>
        <v>6663.8667432510047</v>
      </c>
    </row>
    <row r="341" spans="1:56" ht="15.75" x14ac:dyDescent="0.25">
      <c r="A341" s="53">
        <v>331</v>
      </c>
      <c r="B341" s="53"/>
      <c r="C341" s="53"/>
      <c r="D341" s="53" t="s">
        <v>135</v>
      </c>
      <c r="E341" s="53"/>
      <c r="F341" s="53"/>
      <c r="G341" s="53" t="s">
        <v>290</v>
      </c>
      <c r="H341" s="53" t="s">
        <v>291</v>
      </c>
      <c r="I341" s="85" t="s">
        <v>401</v>
      </c>
      <c r="J341" s="85" t="s">
        <v>640</v>
      </c>
      <c r="K341" s="85" t="s">
        <v>365</v>
      </c>
      <c r="L341" s="53" t="s">
        <v>216</v>
      </c>
      <c r="M341" s="53" t="s">
        <v>295</v>
      </c>
      <c r="N341" s="53"/>
      <c r="O341" s="85" t="s">
        <v>135</v>
      </c>
      <c r="P341" s="53">
        <v>1</v>
      </c>
      <c r="Q341" s="183">
        <v>10</v>
      </c>
      <c r="R341" s="84">
        <v>0.87050000000000005</v>
      </c>
      <c r="S341" s="53">
        <v>14</v>
      </c>
      <c r="T341" s="53"/>
      <c r="U341" s="53">
        <v>3</v>
      </c>
      <c r="V341" s="53">
        <v>480</v>
      </c>
      <c r="W341" s="53"/>
      <c r="X341" s="53"/>
      <c r="Y341" s="53"/>
      <c r="Z341" s="53"/>
      <c r="AA341" s="53"/>
      <c r="AB341" s="53"/>
      <c r="AC341" s="137" t="s">
        <v>124</v>
      </c>
      <c r="AD341" s="138" t="s">
        <v>118</v>
      </c>
      <c r="AE341" s="83">
        <v>8760</v>
      </c>
      <c r="AF341" s="139">
        <v>1</v>
      </c>
      <c r="AG341" s="139">
        <f t="shared" si="70"/>
        <v>0.82191780821917804</v>
      </c>
      <c r="AH341" s="139">
        <v>0.6</v>
      </c>
      <c r="AI341" s="139">
        <v>0.6</v>
      </c>
      <c r="AJ341" s="83">
        <f t="shared" si="60"/>
        <v>2880</v>
      </c>
      <c r="AK341" s="83">
        <f t="shared" si="61"/>
        <v>4320</v>
      </c>
      <c r="AL341" s="104">
        <f t="shared" si="62"/>
        <v>5.1418724870763919</v>
      </c>
      <c r="AM341" s="104">
        <f t="shared" si="63"/>
        <v>5.1418724870763919</v>
      </c>
      <c r="AN341" s="83">
        <f t="shared" si="64"/>
        <v>14808.592762780008</v>
      </c>
      <c r="AO341" s="83">
        <f t="shared" si="65"/>
        <v>22212.889144170014</v>
      </c>
      <c r="AP341" s="182">
        <f t="shared" si="66"/>
        <v>50.528991709592177</v>
      </c>
      <c r="AQ341" s="182">
        <f t="shared" si="67"/>
        <v>75.793487564388272</v>
      </c>
      <c r="AR341" s="85"/>
      <c r="AS341" s="85"/>
      <c r="AT341" s="53"/>
      <c r="AU341" s="53"/>
      <c r="AV341" s="53"/>
      <c r="AW341" s="53"/>
      <c r="AX341" s="53"/>
      <c r="AY341" s="53"/>
      <c r="AZ341" s="53"/>
      <c r="BA341" s="53"/>
      <c r="BB341" s="53"/>
      <c r="BC341" s="111">
        <f t="shared" si="68"/>
        <v>14808.592762780008</v>
      </c>
      <c r="BD341" s="111">
        <f t="shared" si="69"/>
        <v>22212.889144170014</v>
      </c>
    </row>
    <row r="342" spans="1:56" ht="15.75" x14ac:dyDescent="0.25">
      <c r="A342" s="53">
        <v>332</v>
      </c>
      <c r="B342" s="53"/>
      <c r="C342" s="53"/>
      <c r="D342" s="53" t="s">
        <v>135</v>
      </c>
      <c r="E342" s="53"/>
      <c r="F342" s="53"/>
      <c r="G342" s="53" t="s">
        <v>290</v>
      </c>
      <c r="H342" s="53" t="s">
        <v>291</v>
      </c>
      <c r="I342" s="85" t="s">
        <v>319</v>
      </c>
      <c r="J342" s="85" t="s">
        <v>320</v>
      </c>
      <c r="K342" s="85" t="s">
        <v>294</v>
      </c>
      <c r="L342" s="53" t="s">
        <v>216</v>
      </c>
      <c r="M342" s="53" t="s">
        <v>295</v>
      </c>
      <c r="N342" s="53"/>
      <c r="O342" s="85" t="s">
        <v>135</v>
      </c>
      <c r="P342" s="53">
        <v>1</v>
      </c>
      <c r="Q342" s="183">
        <v>75</v>
      </c>
      <c r="R342" s="84">
        <v>0.91149999999999998</v>
      </c>
      <c r="S342" s="53">
        <v>88</v>
      </c>
      <c r="T342" s="53"/>
      <c r="U342" s="53">
        <v>3</v>
      </c>
      <c r="V342" s="53">
        <v>480</v>
      </c>
      <c r="W342" s="53"/>
      <c r="X342" s="53"/>
      <c r="Y342" s="53"/>
      <c r="Z342" s="53"/>
      <c r="AA342" s="53"/>
      <c r="AB342" s="53"/>
      <c r="AC342" s="137" t="s">
        <v>124</v>
      </c>
      <c r="AD342" s="138" t="s">
        <v>118</v>
      </c>
      <c r="AE342" s="83">
        <v>8760</v>
      </c>
      <c r="AF342" s="139">
        <v>1</v>
      </c>
      <c r="AG342" s="139">
        <f t="shared" si="70"/>
        <v>0.82191780821917804</v>
      </c>
      <c r="AH342" s="139">
        <v>0.75</v>
      </c>
      <c r="AI342" s="139">
        <v>0.75</v>
      </c>
      <c r="AJ342" s="83">
        <f t="shared" si="60"/>
        <v>2880</v>
      </c>
      <c r="AK342" s="83">
        <f t="shared" si="61"/>
        <v>4320</v>
      </c>
      <c r="AL342" s="104">
        <f t="shared" si="62"/>
        <v>46.036752605595176</v>
      </c>
      <c r="AM342" s="104">
        <f t="shared" si="63"/>
        <v>46.036752605595176</v>
      </c>
      <c r="AN342" s="83">
        <f t="shared" si="64"/>
        <v>132585.84750411409</v>
      </c>
      <c r="AO342" s="83">
        <f t="shared" si="65"/>
        <v>198878.77125617117</v>
      </c>
      <c r="AP342" s="182">
        <f t="shared" si="66"/>
        <v>452.40147370268784</v>
      </c>
      <c r="AQ342" s="182">
        <f t="shared" si="67"/>
        <v>678.6022105540319</v>
      </c>
      <c r="AR342" s="85"/>
      <c r="AS342" s="85"/>
      <c r="AT342" s="53"/>
      <c r="AU342" s="53"/>
      <c r="AV342" s="53"/>
      <c r="AW342" s="53"/>
      <c r="AX342" s="53"/>
      <c r="AY342" s="53"/>
      <c r="AZ342" s="53"/>
      <c r="BA342" s="53"/>
      <c r="BB342" s="53"/>
      <c r="BC342" s="111">
        <f t="shared" si="68"/>
        <v>132585.84750411409</v>
      </c>
      <c r="BD342" s="111">
        <f t="shared" si="69"/>
        <v>198878.77125617117</v>
      </c>
    </row>
    <row r="343" spans="1:56" ht="15.75" x14ac:dyDescent="0.25">
      <c r="A343" s="53">
        <v>333</v>
      </c>
      <c r="B343" s="53"/>
      <c r="C343" s="53"/>
      <c r="D343" s="53" t="s">
        <v>135</v>
      </c>
      <c r="E343" s="53"/>
      <c r="F343" s="53"/>
      <c r="G343" s="53" t="s">
        <v>290</v>
      </c>
      <c r="H343" s="53" t="s">
        <v>291</v>
      </c>
      <c r="I343" s="85" t="s">
        <v>319</v>
      </c>
      <c r="J343" s="85" t="s">
        <v>320</v>
      </c>
      <c r="K343" s="85" t="s">
        <v>294</v>
      </c>
      <c r="L343" s="53" t="s">
        <v>216</v>
      </c>
      <c r="M343" s="53" t="s">
        <v>295</v>
      </c>
      <c r="N343" s="53"/>
      <c r="O343" s="85" t="s">
        <v>135</v>
      </c>
      <c r="P343" s="53">
        <v>1</v>
      </c>
      <c r="Q343" s="183">
        <v>75</v>
      </c>
      <c r="R343" s="84">
        <v>0.91149999999999998</v>
      </c>
      <c r="S343" s="53">
        <v>88</v>
      </c>
      <c r="T343" s="53"/>
      <c r="U343" s="53">
        <v>3</v>
      </c>
      <c r="V343" s="53">
        <v>480</v>
      </c>
      <c r="W343" s="53"/>
      <c r="X343" s="53"/>
      <c r="Y343" s="53"/>
      <c r="Z343" s="53"/>
      <c r="AA343" s="53"/>
      <c r="AB343" s="53"/>
      <c r="AC343" s="137" t="s">
        <v>124</v>
      </c>
      <c r="AD343" s="138" t="s">
        <v>118</v>
      </c>
      <c r="AE343" s="83">
        <v>8760</v>
      </c>
      <c r="AF343" s="139">
        <v>1</v>
      </c>
      <c r="AG343" s="139">
        <f t="shared" si="70"/>
        <v>0.82191780821917804</v>
      </c>
      <c r="AH343" s="139">
        <v>0.75</v>
      </c>
      <c r="AI343" s="139">
        <v>0.75</v>
      </c>
      <c r="AJ343" s="83">
        <f t="shared" si="60"/>
        <v>2880</v>
      </c>
      <c r="AK343" s="83">
        <f t="shared" si="61"/>
        <v>4320</v>
      </c>
      <c r="AL343" s="104">
        <f t="shared" si="62"/>
        <v>46.036752605595176</v>
      </c>
      <c r="AM343" s="104">
        <f t="shared" si="63"/>
        <v>46.036752605595176</v>
      </c>
      <c r="AN343" s="83">
        <f t="shared" si="64"/>
        <v>132585.84750411409</v>
      </c>
      <c r="AO343" s="83">
        <f t="shared" si="65"/>
        <v>198878.77125617117</v>
      </c>
      <c r="AP343" s="182">
        <f t="shared" si="66"/>
        <v>452.40147370268784</v>
      </c>
      <c r="AQ343" s="182">
        <f t="shared" si="67"/>
        <v>678.6022105540319</v>
      </c>
      <c r="AR343" s="85"/>
      <c r="AS343" s="85"/>
      <c r="AT343" s="53"/>
      <c r="AU343" s="53"/>
      <c r="AV343" s="53"/>
      <c r="AW343" s="53"/>
      <c r="AX343" s="53"/>
      <c r="AY343" s="53"/>
      <c r="AZ343" s="53"/>
      <c r="BA343" s="53"/>
      <c r="BB343" s="53"/>
      <c r="BC343" s="111">
        <f t="shared" si="68"/>
        <v>132585.84750411409</v>
      </c>
      <c r="BD343" s="111">
        <f t="shared" si="69"/>
        <v>198878.77125617117</v>
      </c>
    </row>
    <row r="344" spans="1:56" ht="15.75" x14ac:dyDescent="0.25">
      <c r="A344" s="53">
        <v>334</v>
      </c>
      <c r="B344" s="53"/>
      <c r="C344" s="53"/>
      <c r="D344" s="53" t="s">
        <v>135</v>
      </c>
      <c r="E344" s="53"/>
      <c r="F344" s="53"/>
      <c r="G344" s="53" t="s">
        <v>290</v>
      </c>
      <c r="H344" s="53" t="s">
        <v>291</v>
      </c>
      <c r="I344" s="85" t="s">
        <v>495</v>
      </c>
      <c r="J344" s="85" t="s">
        <v>390</v>
      </c>
      <c r="K344" s="85" t="s">
        <v>365</v>
      </c>
      <c r="L344" s="53" t="s">
        <v>216</v>
      </c>
      <c r="M344" s="53" t="s">
        <v>295</v>
      </c>
      <c r="N344" s="53"/>
      <c r="O344" s="85" t="s">
        <v>496</v>
      </c>
      <c r="P344" s="53">
        <v>1</v>
      </c>
      <c r="Q344" s="183">
        <v>20</v>
      </c>
      <c r="R344" s="84">
        <v>0.89700000000000002</v>
      </c>
      <c r="S344" s="53">
        <v>24.7</v>
      </c>
      <c r="T344" s="53"/>
      <c r="U344" s="53">
        <v>3</v>
      </c>
      <c r="V344" s="53">
        <v>480</v>
      </c>
      <c r="W344" s="53"/>
      <c r="X344" s="53"/>
      <c r="Y344" s="53"/>
      <c r="Z344" s="53"/>
      <c r="AA344" s="53"/>
      <c r="AB344" s="53"/>
      <c r="AC344" s="137" t="s">
        <v>124</v>
      </c>
      <c r="AD344" s="138" t="s">
        <v>118</v>
      </c>
      <c r="AE344" s="83">
        <v>8760</v>
      </c>
      <c r="AF344" s="139">
        <v>1</v>
      </c>
      <c r="AG344" s="139">
        <f t="shared" si="70"/>
        <v>0.82191780821917804</v>
      </c>
      <c r="AH344" s="139">
        <v>0.6</v>
      </c>
      <c r="AI344" s="139">
        <v>0.6</v>
      </c>
      <c r="AJ344" s="83">
        <f t="shared" si="60"/>
        <v>2880</v>
      </c>
      <c r="AK344" s="83">
        <f t="shared" si="61"/>
        <v>4320</v>
      </c>
      <c r="AL344" s="104">
        <f t="shared" si="62"/>
        <v>9.9799331103678917</v>
      </c>
      <c r="AM344" s="104">
        <f t="shared" si="63"/>
        <v>9.9799331103678917</v>
      </c>
      <c r="AN344" s="83">
        <f t="shared" si="64"/>
        <v>28742.207357859526</v>
      </c>
      <c r="AO344" s="83">
        <f t="shared" si="65"/>
        <v>43113.311036789295</v>
      </c>
      <c r="AP344" s="182">
        <f t="shared" si="66"/>
        <v>98.072435414046794</v>
      </c>
      <c r="AQ344" s="182">
        <f t="shared" si="67"/>
        <v>147.1086531210702</v>
      </c>
      <c r="AR344" s="85"/>
      <c r="AS344" s="85"/>
      <c r="AT344" s="53"/>
      <c r="AU344" s="53"/>
      <c r="AV344" s="53"/>
      <c r="AW344" s="53"/>
      <c r="AX344" s="53"/>
      <c r="AY344" s="53"/>
      <c r="AZ344" s="53"/>
      <c r="BA344" s="53"/>
      <c r="BB344" s="53"/>
      <c r="BC344" s="111">
        <f t="shared" si="68"/>
        <v>28742.207357859526</v>
      </c>
      <c r="BD344" s="111">
        <f t="shared" si="69"/>
        <v>43113.311036789295</v>
      </c>
    </row>
    <row r="345" spans="1:56" ht="15.75" x14ac:dyDescent="0.25">
      <c r="A345" s="53">
        <v>335</v>
      </c>
      <c r="B345" s="53"/>
      <c r="C345" s="53"/>
      <c r="D345" s="53" t="s">
        <v>135</v>
      </c>
      <c r="E345" s="53"/>
      <c r="F345" s="53"/>
      <c r="G345" s="53" t="s">
        <v>290</v>
      </c>
      <c r="H345" s="53" t="s">
        <v>291</v>
      </c>
      <c r="I345" s="85" t="s">
        <v>495</v>
      </c>
      <c r="J345" s="85" t="s">
        <v>390</v>
      </c>
      <c r="K345" s="85" t="s">
        <v>365</v>
      </c>
      <c r="L345" s="53" t="s">
        <v>216</v>
      </c>
      <c r="M345" s="53" t="s">
        <v>295</v>
      </c>
      <c r="N345" s="53"/>
      <c r="O345" s="85" t="s">
        <v>497</v>
      </c>
      <c r="P345" s="53">
        <v>1</v>
      </c>
      <c r="Q345" s="183">
        <v>20</v>
      </c>
      <c r="R345" s="84">
        <v>0.89700000000000002</v>
      </c>
      <c r="S345" s="53">
        <v>24.7</v>
      </c>
      <c r="T345" s="53"/>
      <c r="U345" s="53">
        <v>3</v>
      </c>
      <c r="V345" s="53">
        <v>480</v>
      </c>
      <c r="W345" s="53"/>
      <c r="X345" s="53"/>
      <c r="Y345" s="53"/>
      <c r="Z345" s="53"/>
      <c r="AA345" s="53"/>
      <c r="AB345" s="53"/>
      <c r="AC345" s="137" t="s">
        <v>124</v>
      </c>
      <c r="AD345" s="138" t="s">
        <v>118</v>
      </c>
      <c r="AE345" s="83">
        <v>8760</v>
      </c>
      <c r="AF345" s="139">
        <v>1</v>
      </c>
      <c r="AG345" s="139">
        <f t="shared" si="70"/>
        <v>0.82191780821917804</v>
      </c>
      <c r="AH345" s="139">
        <v>0.6</v>
      </c>
      <c r="AI345" s="139">
        <v>0.6</v>
      </c>
      <c r="AJ345" s="83">
        <f t="shared" si="60"/>
        <v>2880</v>
      </c>
      <c r="AK345" s="83">
        <f t="shared" si="61"/>
        <v>4320</v>
      </c>
      <c r="AL345" s="104">
        <f t="shared" si="62"/>
        <v>9.9799331103678917</v>
      </c>
      <c r="AM345" s="104">
        <f t="shared" si="63"/>
        <v>9.9799331103678917</v>
      </c>
      <c r="AN345" s="83">
        <f t="shared" si="64"/>
        <v>28742.207357859526</v>
      </c>
      <c r="AO345" s="83">
        <f t="shared" si="65"/>
        <v>43113.311036789295</v>
      </c>
      <c r="AP345" s="182">
        <f t="shared" si="66"/>
        <v>98.072435414046794</v>
      </c>
      <c r="AQ345" s="182">
        <f t="shared" si="67"/>
        <v>147.1086531210702</v>
      </c>
      <c r="AR345" s="85"/>
      <c r="AS345" s="85"/>
      <c r="AT345" s="53"/>
      <c r="AU345" s="53"/>
      <c r="AV345" s="53"/>
      <c r="AW345" s="53"/>
      <c r="AX345" s="53"/>
      <c r="AY345" s="53"/>
      <c r="AZ345" s="53"/>
      <c r="BA345" s="53"/>
      <c r="BB345" s="53"/>
      <c r="BC345" s="111">
        <f t="shared" si="68"/>
        <v>28742.207357859526</v>
      </c>
      <c r="BD345" s="111">
        <f t="shared" si="69"/>
        <v>43113.311036789295</v>
      </c>
    </row>
    <row r="346" spans="1:56" ht="15.75" x14ac:dyDescent="0.25">
      <c r="A346" s="53">
        <v>336</v>
      </c>
      <c r="B346" s="53"/>
      <c r="C346" s="53"/>
      <c r="D346" s="53" t="s">
        <v>135</v>
      </c>
      <c r="E346" s="53"/>
      <c r="F346" s="53"/>
      <c r="G346" s="53" t="s">
        <v>290</v>
      </c>
      <c r="H346" s="53" t="s">
        <v>291</v>
      </c>
      <c r="I346" s="85" t="s">
        <v>495</v>
      </c>
      <c r="J346" s="85" t="s">
        <v>390</v>
      </c>
      <c r="K346" s="85" t="s">
        <v>365</v>
      </c>
      <c r="L346" s="53" t="s">
        <v>216</v>
      </c>
      <c r="M346" s="53" t="s">
        <v>295</v>
      </c>
      <c r="N346" s="53"/>
      <c r="O346" s="85" t="s">
        <v>498</v>
      </c>
      <c r="P346" s="53">
        <v>1</v>
      </c>
      <c r="Q346" s="183">
        <v>20</v>
      </c>
      <c r="R346" s="84">
        <v>0.89700000000000002</v>
      </c>
      <c r="S346" s="53">
        <v>24.7</v>
      </c>
      <c r="T346" s="53"/>
      <c r="U346" s="53">
        <v>3</v>
      </c>
      <c r="V346" s="53">
        <v>480</v>
      </c>
      <c r="W346" s="53"/>
      <c r="X346" s="53"/>
      <c r="Y346" s="53"/>
      <c r="Z346" s="53"/>
      <c r="AA346" s="53"/>
      <c r="AB346" s="53"/>
      <c r="AC346" s="137" t="s">
        <v>124</v>
      </c>
      <c r="AD346" s="138" t="s">
        <v>118</v>
      </c>
      <c r="AE346" s="83">
        <v>8760</v>
      </c>
      <c r="AF346" s="139">
        <v>1</v>
      </c>
      <c r="AG346" s="139">
        <f t="shared" si="70"/>
        <v>0.82191780821917804</v>
      </c>
      <c r="AH346" s="139">
        <v>0.6</v>
      </c>
      <c r="AI346" s="139">
        <v>0.6</v>
      </c>
      <c r="AJ346" s="83">
        <f t="shared" si="60"/>
        <v>2880</v>
      </c>
      <c r="AK346" s="83">
        <f t="shared" si="61"/>
        <v>4320</v>
      </c>
      <c r="AL346" s="104">
        <f t="shared" si="62"/>
        <v>9.9799331103678917</v>
      </c>
      <c r="AM346" s="104">
        <f t="shared" si="63"/>
        <v>9.9799331103678917</v>
      </c>
      <c r="AN346" s="83">
        <f t="shared" si="64"/>
        <v>28742.207357859526</v>
      </c>
      <c r="AO346" s="83">
        <f t="shared" si="65"/>
        <v>43113.311036789295</v>
      </c>
      <c r="AP346" s="182">
        <f t="shared" si="66"/>
        <v>98.072435414046794</v>
      </c>
      <c r="AQ346" s="182">
        <f t="shared" si="67"/>
        <v>147.1086531210702</v>
      </c>
      <c r="AR346" s="85"/>
      <c r="AS346" s="85"/>
      <c r="AT346" s="53"/>
      <c r="AU346" s="53"/>
      <c r="AV346" s="53"/>
      <c r="AW346" s="53"/>
      <c r="AX346" s="53"/>
      <c r="AY346" s="53"/>
      <c r="AZ346" s="53"/>
      <c r="BA346" s="53"/>
      <c r="BB346" s="53"/>
      <c r="BC346" s="111">
        <f t="shared" si="68"/>
        <v>28742.207357859526</v>
      </c>
      <c r="BD346" s="111">
        <f t="shared" si="69"/>
        <v>43113.311036789295</v>
      </c>
    </row>
    <row r="347" spans="1:56" ht="15.75" x14ac:dyDescent="0.25">
      <c r="A347" s="53">
        <v>337</v>
      </c>
      <c r="B347" s="53"/>
      <c r="C347" s="53"/>
      <c r="D347" s="53" t="s">
        <v>135</v>
      </c>
      <c r="E347" s="53"/>
      <c r="F347" s="53"/>
      <c r="G347" s="53" t="s">
        <v>290</v>
      </c>
      <c r="H347" s="53" t="s">
        <v>291</v>
      </c>
      <c r="I347" s="85" t="s">
        <v>495</v>
      </c>
      <c r="J347" s="85" t="s">
        <v>390</v>
      </c>
      <c r="K347" s="85" t="s">
        <v>365</v>
      </c>
      <c r="L347" s="53" t="s">
        <v>216</v>
      </c>
      <c r="M347" s="53" t="s">
        <v>295</v>
      </c>
      <c r="N347" s="53"/>
      <c r="O347" s="85" t="s">
        <v>499</v>
      </c>
      <c r="P347" s="53">
        <v>1</v>
      </c>
      <c r="Q347" s="183">
        <v>20</v>
      </c>
      <c r="R347" s="84">
        <v>0.89700000000000002</v>
      </c>
      <c r="S347" s="53">
        <v>24.7</v>
      </c>
      <c r="T347" s="53"/>
      <c r="U347" s="53">
        <v>3</v>
      </c>
      <c r="V347" s="53">
        <v>480</v>
      </c>
      <c r="W347" s="53"/>
      <c r="X347" s="53"/>
      <c r="Y347" s="53"/>
      <c r="Z347" s="53"/>
      <c r="AA347" s="53"/>
      <c r="AB347" s="53"/>
      <c r="AC347" s="137" t="s">
        <v>124</v>
      </c>
      <c r="AD347" s="138" t="s">
        <v>118</v>
      </c>
      <c r="AE347" s="83">
        <v>8760</v>
      </c>
      <c r="AF347" s="139">
        <v>1</v>
      </c>
      <c r="AG347" s="139">
        <f t="shared" si="70"/>
        <v>0.82191780821917804</v>
      </c>
      <c r="AH347" s="139">
        <v>0.6</v>
      </c>
      <c r="AI347" s="139">
        <v>0.6</v>
      </c>
      <c r="AJ347" s="83">
        <f t="shared" si="60"/>
        <v>2880</v>
      </c>
      <c r="AK347" s="83">
        <f t="shared" si="61"/>
        <v>4320</v>
      </c>
      <c r="AL347" s="104">
        <f t="shared" si="62"/>
        <v>9.9799331103678917</v>
      </c>
      <c r="AM347" s="104">
        <f t="shared" si="63"/>
        <v>9.9799331103678917</v>
      </c>
      <c r="AN347" s="83">
        <f t="shared" si="64"/>
        <v>28742.207357859526</v>
      </c>
      <c r="AO347" s="83">
        <f t="shared" si="65"/>
        <v>43113.311036789295</v>
      </c>
      <c r="AP347" s="182">
        <f t="shared" si="66"/>
        <v>98.072435414046794</v>
      </c>
      <c r="AQ347" s="182">
        <f t="shared" si="67"/>
        <v>147.1086531210702</v>
      </c>
      <c r="AR347" s="85"/>
      <c r="AS347" s="85"/>
      <c r="AT347" s="53"/>
      <c r="AU347" s="53"/>
      <c r="AV347" s="53"/>
      <c r="AW347" s="53"/>
      <c r="AX347" s="53"/>
      <c r="AY347" s="53"/>
      <c r="AZ347" s="53"/>
      <c r="BA347" s="53"/>
      <c r="BB347" s="53"/>
      <c r="BC347" s="111">
        <f t="shared" si="68"/>
        <v>28742.207357859526</v>
      </c>
      <c r="BD347" s="111">
        <f t="shared" si="69"/>
        <v>43113.311036789295</v>
      </c>
    </row>
    <row r="348" spans="1:56" ht="15.75" x14ac:dyDescent="0.25">
      <c r="A348" s="53">
        <v>338</v>
      </c>
      <c r="B348" s="53"/>
      <c r="C348" s="53"/>
      <c r="D348" s="53" t="s">
        <v>135</v>
      </c>
      <c r="E348" s="53"/>
      <c r="F348" s="53"/>
      <c r="G348" s="53" t="s">
        <v>290</v>
      </c>
      <c r="H348" s="53" t="s">
        <v>291</v>
      </c>
      <c r="I348" s="85" t="s">
        <v>495</v>
      </c>
      <c r="J348" s="85" t="s">
        <v>390</v>
      </c>
      <c r="K348" s="85" t="s">
        <v>365</v>
      </c>
      <c r="L348" s="53" t="s">
        <v>216</v>
      </c>
      <c r="M348" s="53" t="s">
        <v>295</v>
      </c>
      <c r="N348" s="53"/>
      <c r="O348" s="85" t="s">
        <v>641</v>
      </c>
      <c r="P348" s="53">
        <v>1</v>
      </c>
      <c r="Q348" s="183">
        <v>10</v>
      </c>
      <c r="R348" s="84">
        <v>0.87050000000000005</v>
      </c>
      <c r="S348" s="53">
        <v>14</v>
      </c>
      <c r="T348" s="53"/>
      <c r="U348" s="53">
        <v>3</v>
      </c>
      <c r="V348" s="53">
        <v>480</v>
      </c>
      <c r="W348" s="53"/>
      <c r="X348" s="53"/>
      <c r="Y348" s="53"/>
      <c r="Z348" s="53"/>
      <c r="AA348" s="53"/>
      <c r="AB348" s="53"/>
      <c r="AC348" s="137" t="s">
        <v>124</v>
      </c>
      <c r="AD348" s="138" t="s">
        <v>118</v>
      </c>
      <c r="AE348" s="83">
        <v>8760</v>
      </c>
      <c r="AF348" s="139">
        <v>1</v>
      </c>
      <c r="AG348" s="139">
        <f t="shared" si="70"/>
        <v>0.82191780821917804</v>
      </c>
      <c r="AH348" s="139">
        <v>0.6</v>
      </c>
      <c r="AI348" s="139">
        <v>0.6</v>
      </c>
      <c r="AJ348" s="83">
        <f t="shared" si="60"/>
        <v>2880</v>
      </c>
      <c r="AK348" s="83">
        <f t="shared" si="61"/>
        <v>4320</v>
      </c>
      <c r="AL348" s="104">
        <f t="shared" si="62"/>
        <v>5.1418724870763919</v>
      </c>
      <c r="AM348" s="104">
        <f t="shared" si="63"/>
        <v>5.1418724870763919</v>
      </c>
      <c r="AN348" s="83">
        <f t="shared" si="64"/>
        <v>14808.592762780008</v>
      </c>
      <c r="AO348" s="83">
        <f t="shared" si="65"/>
        <v>22212.889144170014</v>
      </c>
      <c r="AP348" s="182">
        <f t="shared" si="66"/>
        <v>50.528991709592177</v>
      </c>
      <c r="AQ348" s="182">
        <f t="shared" si="67"/>
        <v>75.793487564388272</v>
      </c>
      <c r="AR348" s="85"/>
      <c r="AS348" s="85"/>
      <c r="AT348" s="53"/>
      <c r="AU348" s="53"/>
      <c r="AV348" s="53"/>
      <c r="AW348" s="53"/>
      <c r="AX348" s="53"/>
      <c r="AY348" s="53"/>
      <c r="AZ348" s="53"/>
      <c r="BA348" s="53"/>
      <c r="BB348" s="53"/>
      <c r="BC348" s="111">
        <f t="shared" si="68"/>
        <v>14808.592762780008</v>
      </c>
      <c r="BD348" s="111">
        <f t="shared" si="69"/>
        <v>22212.889144170014</v>
      </c>
    </row>
    <row r="349" spans="1:56" ht="15.75" x14ac:dyDescent="0.25">
      <c r="A349" s="53">
        <v>339</v>
      </c>
      <c r="B349" s="53"/>
      <c r="C349" s="53"/>
      <c r="D349" s="53" t="s">
        <v>135</v>
      </c>
      <c r="E349" s="53"/>
      <c r="F349" s="53"/>
      <c r="G349" s="53" t="s">
        <v>290</v>
      </c>
      <c r="H349" s="53" t="s">
        <v>291</v>
      </c>
      <c r="I349" s="85" t="s">
        <v>362</v>
      </c>
      <c r="J349" s="85" t="s">
        <v>363</v>
      </c>
      <c r="K349" s="85" t="s">
        <v>294</v>
      </c>
      <c r="L349" s="53" t="s">
        <v>216</v>
      </c>
      <c r="M349" s="53" t="s">
        <v>295</v>
      </c>
      <c r="N349" s="53"/>
      <c r="O349" s="85" t="s">
        <v>135</v>
      </c>
      <c r="P349" s="53">
        <v>1</v>
      </c>
      <c r="Q349" s="183">
        <v>50</v>
      </c>
      <c r="R349" s="84">
        <v>0.89250000000000007</v>
      </c>
      <c r="S349" s="53">
        <v>62</v>
      </c>
      <c r="T349" s="53"/>
      <c r="U349" s="53">
        <v>3</v>
      </c>
      <c r="V349" s="53">
        <v>480</v>
      </c>
      <c r="W349" s="53"/>
      <c r="X349" s="53"/>
      <c r="Y349" s="53"/>
      <c r="Z349" s="53"/>
      <c r="AA349" s="53"/>
      <c r="AB349" s="53"/>
      <c r="AC349" s="137" t="s">
        <v>124</v>
      </c>
      <c r="AD349" s="138" t="s">
        <v>118</v>
      </c>
      <c r="AE349" s="83">
        <v>8760</v>
      </c>
      <c r="AF349" s="139">
        <v>1</v>
      </c>
      <c r="AG349" s="139">
        <f t="shared" si="70"/>
        <v>0.82191780821917804</v>
      </c>
      <c r="AH349" s="139">
        <v>0.75</v>
      </c>
      <c r="AI349" s="139">
        <v>0.75</v>
      </c>
      <c r="AJ349" s="83">
        <f t="shared" si="60"/>
        <v>2880</v>
      </c>
      <c r="AK349" s="83">
        <f t="shared" si="61"/>
        <v>4320</v>
      </c>
      <c r="AL349" s="104">
        <f t="shared" si="62"/>
        <v>31.344537815126046</v>
      </c>
      <c r="AM349" s="104">
        <f t="shared" si="63"/>
        <v>31.344537815126046</v>
      </c>
      <c r="AN349" s="83">
        <f t="shared" si="64"/>
        <v>90272.268907563004</v>
      </c>
      <c r="AO349" s="83">
        <f t="shared" si="65"/>
        <v>135408.40336134451</v>
      </c>
      <c r="AP349" s="182">
        <f t="shared" si="66"/>
        <v>308.02161963025202</v>
      </c>
      <c r="AQ349" s="182">
        <f t="shared" si="67"/>
        <v>462.032429445378</v>
      </c>
      <c r="AR349" s="85"/>
      <c r="AS349" s="85"/>
      <c r="AT349" s="53"/>
      <c r="AU349" s="53"/>
      <c r="AV349" s="53"/>
      <c r="AW349" s="53"/>
      <c r="AX349" s="53"/>
      <c r="AY349" s="53"/>
      <c r="AZ349" s="53"/>
      <c r="BA349" s="53"/>
      <c r="BB349" s="53"/>
      <c r="BC349" s="111">
        <f t="shared" si="68"/>
        <v>90272.268907563004</v>
      </c>
      <c r="BD349" s="111">
        <f t="shared" si="69"/>
        <v>135408.40336134451</v>
      </c>
    </row>
    <row r="350" spans="1:56" ht="15.75" x14ac:dyDescent="0.25">
      <c r="A350" s="53">
        <v>340</v>
      </c>
      <c r="B350" s="53"/>
      <c r="C350" s="53"/>
      <c r="D350" s="53" t="s">
        <v>135</v>
      </c>
      <c r="E350" s="53"/>
      <c r="F350" s="53"/>
      <c r="G350" s="53" t="s">
        <v>290</v>
      </c>
      <c r="H350" s="53" t="s">
        <v>291</v>
      </c>
      <c r="I350" s="85" t="s">
        <v>307</v>
      </c>
      <c r="J350" s="85" t="s">
        <v>308</v>
      </c>
      <c r="K350" s="85" t="s">
        <v>294</v>
      </c>
      <c r="L350" s="53" t="s">
        <v>216</v>
      </c>
      <c r="M350" s="53" t="s">
        <v>295</v>
      </c>
      <c r="N350" s="53"/>
      <c r="O350" s="85" t="s">
        <v>135</v>
      </c>
      <c r="P350" s="53">
        <v>1</v>
      </c>
      <c r="Q350" s="183">
        <v>100</v>
      </c>
      <c r="R350" s="84">
        <v>0.91650000000000009</v>
      </c>
      <c r="S350" s="53">
        <v>113</v>
      </c>
      <c r="T350" s="53"/>
      <c r="U350" s="53">
        <v>3</v>
      </c>
      <c r="V350" s="53">
        <v>480</v>
      </c>
      <c r="W350" s="53"/>
      <c r="X350" s="53"/>
      <c r="Y350" s="53"/>
      <c r="Z350" s="53"/>
      <c r="AA350" s="53"/>
      <c r="AB350" s="53"/>
      <c r="AC350" s="137" t="s">
        <v>124</v>
      </c>
      <c r="AD350" s="138" t="s">
        <v>118</v>
      </c>
      <c r="AE350" s="83">
        <v>8760</v>
      </c>
      <c r="AF350" s="139">
        <v>1</v>
      </c>
      <c r="AG350" s="139">
        <f t="shared" si="70"/>
        <v>0.82191780821917804</v>
      </c>
      <c r="AH350" s="139">
        <v>0.75</v>
      </c>
      <c r="AI350" s="139">
        <v>0.75</v>
      </c>
      <c r="AJ350" s="83">
        <f t="shared" si="60"/>
        <v>2880</v>
      </c>
      <c r="AK350" s="83">
        <f t="shared" si="61"/>
        <v>4320</v>
      </c>
      <c r="AL350" s="104">
        <f t="shared" si="62"/>
        <v>61.047463175122736</v>
      </c>
      <c r="AM350" s="104">
        <f t="shared" si="63"/>
        <v>61.047463175122736</v>
      </c>
      <c r="AN350" s="83">
        <f t="shared" si="64"/>
        <v>175816.69394435349</v>
      </c>
      <c r="AO350" s="83">
        <f t="shared" si="65"/>
        <v>263725.04091653024</v>
      </c>
      <c r="AP350" s="182">
        <f t="shared" si="66"/>
        <v>599.91117407528623</v>
      </c>
      <c r="AQ350" s="182">
        <f t="shared" si="67"/>
        <v>899.86676111292945</v>
      </c>
      <c r="AR350" s="85"/>
      <c r="AS350" s="85"/>
      <c r="AT350" s="53"/>
      <c r="AU350" s="53"/>
      <c r="AV350" s="53"/>
      <c r="AW350" s="53"/>
      <c r="AX350" s="53"/>
      <c r="AY350" s="53"/>
      <c r="AZ350" s="53"/>
      <c r="BA350" s="53"/>
      <c r="BB350" s="53"/>
      <c r="BC350" s="111">
        <f t="shared" si="68"/>
        <v>175816.69394435349</v>
      </c>
      <c r="BD350" s="111">
        <f t="shared" si="69"/>
        <v>263725.04091653024</v>
      </c>
    </row>
    <row r="351" spans="1:56" ht="15.75" x14ac:dyDescent="0.25">
      <c r="A351" s="53">
        <v>341</v>
      </c>
      <c r="B351" s="53"/>
      <c r="C351" s="53"/>
      <c r="D351" s="53" t="s">
        <v>135</v>
      </c>
      <c r="E351" s="53"/>
      <c r="F351" s="53"/>
      <c r="G351" s="53" t="s">
        <v>290</v>
      </c>
      <c r="H351" s="53" t="s">
        <v>291</v>
      </c>
      <c r="I351" s="85" t="s">
        <v>307</v>
      </c>
      <c r="J351" s="85" t="s">
        <v>308</v>
      </c>
      <c r="K351" s="85" t="s">
        <v>294</v>
      </c>
      <c r="L351" s="53" t="s">
        <v>216</v>
      </c>
      <c r="M351" s="53" t="s">
        <v>295</v>
      </c>
      <c r="N351" s="53"/>
      <c r="O351" s="85" t="s">
        <v>135</v>
      </c>
      <c r="P351" s="53">
        <v>1</v>
      </c>
      <c r="Q351" s="183">
        <v>100</v>
      </c>
      <c r="R351" s="84">
        <v>0.91650000000000009</v>
      </c>
      <c r="S351" s="53">
        <v>113</v>
      </c>
      <c r="T351" s="53"/>
      <c r="U351" s="53">
        <v>3</v>
      </c>
      <c r="V351" s="53">
        <v>480</v>
      </c>
      <c r="W351" s="53"/>
      <c r="X351" s="53"/>
      <c r="Y351" s="53"/>
      <c r="Z351" s="53"/>
      <c r="AA351" s="53"/>
      <c r="AB351" s="53"/>
      <c r="AC351" s="137" t="s">
        <v>124</v>
      </c>
      <c r="AD351" s="138" t="s">
        <v>118</v>
      </c>
      <c r="AE351" s="83">
        <v>8760</v>
      </c>
      <c r="AF351" s="139">
        <v>1</v>
      </c>
      <c r="AG351" s="139">
        <f t="shared" si="70"/>
        <v>0.82191780821917804</v>
      </c>
      <c r="AH351" s="139">
        <v>0.75</v>
      </c>
      <c r="AI351" s="139">
        <v>0.75</v>
      </c>
      <c r="AJ351" s="83">
        <f t="shared" si="60"/>
        <v>2880</v>
      </c>
      <c r="AK351" s="83">
        <f t="shared" si="61"/>
        <v>4320</v>
      </c>
      <c r="AL351" s="104">
        <f t="shared" si="62"/>
        <v>61.047463175122736</v>
      </c>
      <c r="AM351" s="104">
        <f t="shared" si="63"/>
        <v>61.047463175122736</v>
      </c>
      <c r="AN351" s="83">
        <f t="shared" si="64"/>
        <v>175816.69394435349</v>
      </c>
      <c r="AO351" s="83">
        <f t="shared" si="65"/>
        <v>263725.04091653024</v>
      </c>
      <c r="AP351" s="182">
        <f t="shared" si="66"/>
        <v>599.91117407528623</v>
      </c>
      <c r="AQ351" s="182">
        <f t="shared" si="67"/>
        <v>899.86676111292945</v>
      </c>
      <c r="AR351" s="85"/>
      <c r="AS351" s="85"/>
      <c r="AT351" s="53"/>
      <c r="AU351" s="53"/>
      <c r="AV351" s="53"/>
      <c r="AW351" s="53"/>
      <c r="AX351" s="53"/>
      <c r="AY351" s="53"/>
      <c r="AZ351" s="53"/>
      <c r="BA351" s="53"/>
      <c r="BB351" s="53"/>
      <c r="BC351" s="111">
        <f t="shared" si="68"/>
        <v>175816.69394435349</v>
      </c>
      <c r="BD351" s="111">
        <f t="shared" si="69"/>
        <v>263725.04091653024</v>
      </c>
    </row>
    <row r="352" spans="1:56" ht="15.75" x14ac:dyDescent="0.25">
      <c r="A352" s="53">
        <v>342</v>
      </c>
      <c r="B352" s="53"/>
      <c r="C352" s="53"/>
      <c r="D352" s="53" t="s">
        <v>135</v>
      </c>
      <c r="E352" s="53"/>
      <c r="F352" s="53"/>
      <c r="G352" s="53" t="s">
        <v>290</v>
      </c>
      <c r="H352" s="53" t="s">
        <v>291</v>
      </c>
      <c r="I352" s="85" t="s">
        <v>495</v>
      </c>
      <c r="J352" s="85" t="s">
        <v>500</v>
      </c>
      <c r="K352" s="85" t="s">
        <v>365</v>
      </c>
      <c r="L352" s="53" t="s">
        <v>216</v>
      </c>
      <c r="M352" s="53" t="s">
        <v>295</v>
      </c>
      <c r="N352" s="53"/>
      <c r="O352" s="85" t="s">
        <v>501</v>
      </c>
      <c r="P352" s="53">
        <v>1</v>
      </c>
      <c r="Q352" s="183">
        <v>20</v>
      </c>
      <c r="R352" s="84">
        <v>0.89700000000000002</v>
      </c>
      <c r="S352" s="53">
        <v>24.3</v>
      </c>
      <c r="T352" s="53"/>
      <c r="U352" s="53">
        <v>3</v>
      </c>
      <c r="V352" s="53">
        <v>480</v>
      </c>
      <c r="W352" s="53"/>
      <c r="X352" s="53"/>
      <c r="Y352" s="53"/>
      <c r="Z352" s="53"/>
      <c r="AA352" s="53"/>
      <c r="AB352" s="53"/>
      <c r="AC352" s="137" t="s">
        <v>124</v>
      </c>
      <c r="AD352" s="138" t="s">
        <v>118</v>
      </c>
      <c r="AE352" s="83">
        <v>8760</v>
      </c>
      <c r="AF352" s="139">
        <v>1</v>
      </c>
      <c r="AG352" s="139">
        <f t="shared" si="70"/>
        <v>0.82191780821917804</v>
      </c>
      <c r="AH352" s="139">
        <v>0.6</v>
      </c>
      <c r="AI352" s="139">
        <v>0.6</v>
      </c>
      <c r="AJ352" s="83">
        <f t="shared" si="60"/>
        <v>2880</v>
      </c>
      <c r="AK352" s="83">
        <f t="shared" si="61"/>
        <v>4320</v>
      </c>
      <c r="AL352" s="104">
        <f t="shared" si="62"/>
        <v>9.9799331103678917</v>
      </c>
      <c r="AM352" s="104">
        <f t="shared" si="63"/>
        <v>9.9799331103678917</v>
      </c>
      <c r="AN352" s="83">
        <f t="shared" si="64"/>
        <v>28742.207357859526</v>
      </c>
      <c r="AO352" s="83">
        <f t="shared" si="65"/>
        <v>43113.311036789295</v>
      </c>
      <c r="AP352" s="182">
        <f t="shared" si="66"/>
        <v>98.072435414046794</v>
      </c>
      <c r="AQ352" s="182">
        <f t="shared" si="67"/>
        <v>147.1086531210702</v>
      </c>
      <c r="AR352" s="85"/>
      <c r="AS352" s="85"/>
      <c r="AT352" s="53"/>
      <c r="AU352" s="53"/>
      <c r="AV352" s="53"/>
      <c r="AW352" s="53"/>
      <c r="AX352" s="53"/>
      <c r="AY352" s="53"/>
      <c r="AZ352" s="53"/>
      <c r="BA352" s="53"/>
      <c r="BB352" s="53"/>
      <c r="BC352" s="111">
        <f t="shared" si="68"/>
        <v>28742.207357859526</v>
      </c>
      <c r="BD352" s="111">
        <f t="shared" si="69"/>
        <v>43113.311036789295</v>
      </c>
    </row>
    <row r="353" spans="1:56" ht="15.75" x14ac:dyDescent="0.25">
      <c r="A353" s="53">
        <v>343</v>
      </c>
      <c r="B353" s="53"/>
      <c r="C353" s="53"/>
      <c r="D353" s="53" t="s">
        <v>135</v>
      </c>
      <c r="E353" s="53"/>
      <c r="F353" s="53"/>
      <c r="G353" s="53" t="s">
        <v>290</v>
      </c>
      <c r="H353" s="53" t="s">
        <v>291</v>
      </c>
      <c r="I353" s="85" t="s">
        <v>495</v>
      </c>
      <c r="J353" s="85" t="s">
        <v>500</v>
      </c>
      <c r="K353" s="85" t="s">
        <v>365</v>
      </c>
      <c r="L353" s="53" t="s">
        <v>216</v>
      </c>
      <c r="M353" s="53" t="s">
        <v>295</v>
      </c>
      <c r="N353" s="53"/>
      <c r="O353" s="85" t="s">
        <v>502</v>
      </c>
      <c r="P353" s="53">
        <v>1</v>
      </c>
      <c r="Q353" s="183">
        <v>20</v>
      </c>
      <c r="R353" s="84">
        <v>0.89700000000000002</v>
      </c>
      <c r="S353" s="53">
        <v>24.3</v>
      </c>
      <c r="T353" s="53"/>
      <c r="U353" s="53">
        <v>3</v>
      </c>
      <c r="V353" s="53">
        <v>480</v>
      </c>
      <c r="W353" s="53"/>
      <c r="X353" s="53"/>
      <c r="Y353" s="53"/>
      <c r="Z353" s="53"/>
      <c r="AA353" s="53"/>
      <c r="AB353" s="53"/>
      <c r="AC353" s="137" t="s">
        <v>124</v>
      </c>
      <c r="AD353" s="138" t="s">
        <v>118</v>
      </c>
      <c r="AE353" s="83">
        <v>8760</v>
      </c>
      <c r="AF353" s="139">
        <v>1</v>
      </c>
      <c r="AG353" s="139">
        <f t="shared" si="70"/>
        <v>0.82191780821917804</v>
      </c>
      <c r="AH353" s="139">
        <v>0.6</v>
      </c>
      <c r="AI353" s="139">
        <v>0.6</v>
      </c>
      <c r="AJ353" s="83">
        <f t="shared" si="60"/>
        <v>2880</v>
      </c>
      <c r="AK353" s="83">
        <f t="shared" si="61"/>
        <v>4320</v>
      </c>
      <c r="AL353" s="104">
        <f t="shared" si="62"/>
        <v>9.9799331103678917</v>
      </c>
      <c r="AM353" s="104">
        <f t="shared" si="63"/>
        <v>9.9799331103678917</v>
      </c>
      <c r="AN353" s="83">
        <f t="shared" si="64"/>
        <v>28742.207357859526</v>
      </c>
      <c r="AO353" s="83">
        <f t="shared" si="65"/>
        <v>43113.311036789295</v>
      </c>
      <c r="AP353" s="182">
        <f t="shared" si="66"/>
        <v>98.072435414046794</v>
      </c>
      <c r="AQ353" s="182">
        <f t="shared" si="67"/>
        <v>147.1086531210702</v>
      </c>
      <c r="AR353" s="85"/>
      <c r="AS353" s="85"/>
      <c r="AT353" s="53"/>
      <c r="AU353" s="53"/>
      <c r="AV353" s="53"/>
      <c r="AW353" s="53"/>
      <c r="AX353" s="53"/>
      <c r="AY353" s="53"/>
      <c r="AZ353" s="53"/>
      <c r="BA353" s="53"/>
      <c r="BB353" s="53"/>
      <c r="BC353" s="111">
        <f t="shared" si="68"/>
        <v>28742.207357859526</v>
      </c>
      <c r="BD353" s="111">
        <f t="shared" si="69"/>
        <v>43113.311036789295</v>
      </c>
    </row>
    <row r="354" spans="1:56" ht="15.75" x14ac:dyDescent="0.25">
      <c r="A354" s="53">
        <v>344</v>
      </c>
      <c r="B354" s="53"/>
      <c r="C354" s="53"/>
      <c r="D354" s="53" t="s">
        <v>135</v>
      </c>
      <c r="E354" s="53"/>
      <c r="F354" s="53"/>
      <c r="G354" s="53" t="s">
        <v>290</v>
      </c>
      <c r="H354" s="53" t="s">
        <v>291</v>
      </c>
      <c r="I354" s="85" t="s">
        <v>495</v>
      </c>
      <c r="J354" s="85" t="s">
        <v>500</v>
      </c>
      <c r="K354" s="85" t="s">
        <v>365</v>
      </c>
      <c r="L354" s="53" t="s">
        <v>216</v>
      </c>
      <c r="M354" s="53" t="s">
        <v>295</v>
      </c>
      <c r="N354" s="53"/>
      <c r="O354" s="85" t="s">
        <v>503</v>
      </c>
      <c r="P354" s="53">
        <v>1</v>
      </c>
      <c r="Q354" s="183">
        <v>20</v>
      </c>
      <c r="R354" s="84">
        <v>0.89700000000000002</v>
      </c>
      <c r="S354" s="53">
        <v>24.3</v>
      </c>
      <c r="T354" s="53"/>
      <c r="U354" s="53">
        <v>3</v>
      </c>
      <c r="V354" s="53">
        <v>480</v>
      </c>
      <c r="W354" s="53"/>
      <c r="X354" s="53"/>
      <c r="Y354" s="53"/>
      <c r="Z354" s="53"/>
      <c r="AA354" s="53"/>
      <c r="AB354" s="53"/>
      <c r="AC354" s="137" t="s">
        <v>124</v>
      </c>
      <c r="AD354" s="138" t="s">
        <v>118</v>
      </c>
      <c r="AE354" s="83">
        <v>8760</v>
      </c>
      <c r="AF354" s="139">
        <v>1</v>
      </c>
      <c r="AG354" s="139">
        <f t="shared" si="70"/>
        <v>0.82191780821917804</v>
      </c>
      <c r="AH354" s="139">
        <v>0.6</v>
      </c>
      <c r="AI354" s="139">
        <v>0.6</v>
      </c>
      <c r="AJ354" s="83">
        <f t="shared" si="60"/>
        <v>2880</v>
      </c>
      <c r="AK354" s="83">
        <f t="shared" si="61"/>
        <v>4320</v>
      </c>
      <c r="AL354" s="104">
        <f t="shared" si="62"/>
        <v>9.9799331103678917</v>
      </c>
      <c r="AM354" s="104">
        <f t="shared" si="63"/>
        <v>9.9799331103678917</v>
      </c>
      <c r="AN354" s="83">
        <f t="shared" si="64"/>
        <v>28742.207357859526</v>
      </c>
      <c r="AO354" s="83">
        <f t="shared" si="65"/>
        <v>43113.311036789295</v>
      </c>
      <c r="AP354" s="182">
        <f t="shared" si="66"/>
        <v>98.072435414046794</v>
      </c>
      <c r="AQ354" s="182">
        <f t="shared" si="67"/>
        <v>147.1086531210702</v>
      </c>
      <c r="AR354" s="85"/>
      <c r="AS354" s="85"/>
      <c r="AT354" s="53"/>
      <c r="AU354" s="53"/>
      <c r="AV354" s="53"/>
      <c r="AW354" s="53"/>
      <c r="AX354" s="53"/>
      <c r="AY354" s="53"/>
      <c r="AZ354" s="53"/>
      <c r="BA354" s="53"/>
      <c r="BB354" s="53"/>
      <c r="BC354" s="111">
        <f t="shared" si="68"/>
        <v>28742.207357859526</v>
      </c>
      <c r="BD354" s="111">
        <f t="shared" si="69"/>
        <v>43113.311036789295</v>
      </c>
    </row>
    <row r="355" spans="1:56" ht="15.75" x14ac:dyDescent="0.25">
      <c r="A355" s="53">
        <v>345</v>
      </c>
      <c r="B355" s="53"/>
      <c r="C355" s="53"/>
      <c r="D355" s="53" t="s">
        <v>135</v>
      </c>
      <c r="E355" s="53"/>
      <c r="F355" s="53"/>
      <c r="G355" s="53" t="s">
        <v>290</v>
      </c>
      <c r="H355" s="53" t="s">
        <v>291</v>
      </c>
      <c r="I355" s="85" t="s">
        <v>495</v>
      </c>
      <c r="J355" s="85" t="s">
        <v>500</v>
      </c>
      <c r="K355" s="85" t="s">
        <v>365</v>
      </c>
      <c r="L355" s="53" t="s">
        <v>216</v>
      </c>
      <c r="M355" s="53" t="s">
        <v>295</v>
      </c>
      <c r="N355" s="53"/>
      <c r="O355" s="85" t="s">
        <v>504</v>
      </c>
      <c r="P355" s="53">
        <v>1</v>
      </c>
      <c r="Q355" s="183">
        <v>20</v>
      </c>
      <c r="R355" s="84">
        <v>0.89700000000000002</v>
      </c>
      <c r="S355" s="53">
        <v>24.3</v>
      </c>
      <c r="T355" s="53"/>
      <c r="U355" s="53">
        <v>3</v>
      </c>
      <c r="V355" s="53">
        <v>480</v>
      </c>
      <c r="W355" s="53"/>
      <c r="X355" s="53"/>
      <c r="Y355" s="53"/>
      <c r="Z355" s="53"/>
      <c r="AA355" s="53"/>
      <c r="AB355" s="53"/>
      <c r="AC355" s="137" t="s">
        <v>124</v>
      </c>
      <c r="AD355" s="138" t="s">
        <v>118</v>
      </c>
      <c r="AE355" s="83">
        <v>8760</v>
      </c>
      <c r="AF355" s="139">
        <v>1</v>
      </c>
      <c r="AG355" s="139">
        <f t="shared" si="70"/>
        <v>0.82191780821917804</v>
      </c>
      <c r="AH355" s="139">
        <v>0.6</v>
      </c>
      <c r="AI355" s="139">
        <v>0.6</v>
      </c>
      <c r="AJ355" s="83">
        <f t="shared" si="60"/>
        <v>2880</v>
      </c>
      <c r="AK355" s="83">
        <f t="shared" si="61"/>
        <v>4320</v>
      </c>
      <c r="AL355" s="104">
        <f t="shared" si="62"/>
        <v>9.9799331103678917</v>
      </c>
      <c r="AM355" s="104">
        <f t="shared" si="63"/>
        <v>9.9799331103678917</v>
      </c>
      <c r="AN355" s="83">
        <f t="shared" si="64"/>
        <v>28742.207357859526</v>
      </c>
      <c r="AO355" s="83">
        <f t="shared" si="65"/>
        <v>43113.311036789295</v>
      </c>
      <c r="AP355" s="182">
        <f t="shared" si="66"/>
        <v>98.072435414046794</v>
      </c>
      <c r="AQ355" s="182">
        <f t="shared" si="67"/>
        <v>147.1086531210702</v>
      </c>
      <c r="AR355" s="85"/>
      <c r="AS355" s="85"/>
      <c r="AT355" s="53"/>
      <c r="AU355" s="53"/>
      <c r="AV355" s="53"/>
      <c r="AW355" s="53"/>
      <c r="AX355" s="53"/>
      <c r="AY355" s="53"/>
      <c r="AZ355" s="53"/>
      <c r="BA355" s="53"/>
      <c r="BB355" s="53"/>
      <c r="BC355" s="111">
        <f t="shared" si="68"/>
        <v>28742.207357859526</v>
      </c>
      <c r="BD355" s="111">
        <f t="shared" si="69"/>
        <v>43113.311036789295</v>
      </c>
    </row>
    <row r="356" spans="1:56" ht="15.75" x14ac:dyDescent="0.25">
      <c r="A356" s="53">
        <v>346</v>
      </c>
      <c r="B356" s="53"/>
      <c r="C356" s="53"/>
      <c r="D356" s="53" t="s">
        <v>135</v>
      </c>
      <c r="E356" s="53"/>
      <c r="F356" s="53"/>
      <c r="G356" s="53" t="s">
        <v>290</v>
      </c>
      <c r="H356" s="53" t="s">
        <v>291</v>
      </c>
      <c r="I356" s="85" t="s">
        <v>495</v>
      </c>
      <c r="J356" s="85" t="s">
        <v>500</v>
      </c>
      <c r="K356" s="85" t="s">
        <v>365</v>
      </c>
      <c r="L356" s="53" t="s">
        <v>216</v>
      </c>
      <c r="M356" s="53" t="s">
        <v>295</v>
      </c>
      <c r="N356" s="53"/>
      <c r="O356" s="85" t="s">
        <v>642</v>
      </c>
      <c r="P356" s="53">
        <v>1</v>
      </c>
      <c r="Q356" s="183">
        <v>10</v>
      </c>
      <c r="R356" s="84">
        <v>0.87050000000000005</v>
      </c>
      <c r="S356" s="53">
        <v>12</v>
      </c>
      <c r="T356" s="53"/>
      <c r="U356" s="53">
        <v>3</v>
      </c>
      <c r="V356" s="53">
        <v>480</v>
      </c>
      <c r="W356" s="53"/>
      <c r="X356" s="53"/>
      <c r="Y356" s="53"/>
      <c r="Z356" s="53"/>
      <c r="AA356" s="53"/>
      <c r="AB356" s="53"/>
      <c r="AC356" s="137" t="s">
        <v>124</v>
      </c>
      <c r="AD356" s="138" t="s">
        <v>118</v>
      </c>
      <c r="AE356" s="83">
        <v>8760</v>
      </c>
      <c r="AF356" s="139">
        <v>1</v>
      </c>
      <c r="AG356" s="139">
        <f t="shared" si="70"/>
        <v>0.82191780821917804</v>
      </c>
      <c r="AH356" s="139">
        <v>0.6</v>
      </c>
      <c r="AI356" s="139">
        <v>0.6</v>
      </c>
      <c r="AJ356" s="83">
        <f t="shared" si="60"/>
        <v>2880</v>
      </c>
      <c r="AK356" s="83">
        <f t="shared" si="61"/>
        <v>4320</v>
      </c>
      <c r="AL356" s="104">
        <f t="shared" si="62"/>
        <v>5.1418724870763919</v>
      </c>
      <c r="AM356" s="104">
        <f t="shared" si="63"/>
        <v>5.1418724870763919</v>
      </c>
      <c r="AN356" s="83">
        <f t="shared" si="64"/>
        <v>14808.592762780008</v>
      </c>
      <c r="AO356" s="83">
        <f t="shared" si="65"/>
        <v>22212.889144170014</v>
      </c>
      <c r="AP356" s="182">
        <f t="shared" si="66"/>
        <v>50.528991709592177</v>
      </c>
      <c r="AQ356" s="182">
        <f t="shared" si="67"/>
        <v>75.793487564388272</v>
      </c>
      <c r="AR356" s="85"/>
      <c r="AS356" s="85"/>
      <c r="AT356" s="53"/>
      <c r="AU356" s="53"/>
      <c r="AV356" s="53"/>
      <c r="AW356" s="53"/>
      <c r="AX356" s="53"/>
      <c r="AY356" s="53"/>
      <c r="AZ356" s="53"/>
      <c r="BA356" s="53"/>
      <c r="BB356" s="53"/>
      <c r="BC356" s="111">
        <f t="shared" si="68"/>
        <v>14808.592762780008</v>
      </c>
      <c r="BD356" s="111">
        <f t="shared" si="69"/>
        <v>22212.889144170014</v>
      </c>
    </row>
    <row r="357" spans="1:56" ht="15.75" x14ac:dyDescent="0.25">
      <c r="A357" s="53">
        <v>347</v>
      </c>
      <c r="B357" s="53"/>
      <c r="C357" s="53"/>
      <c r="D357" s="53" t="s">
        <v>135</v>
      </c>
      <c r="E357" s="53"/>
      <c r="F357" s="53"/>
      <c r="G357" s="53" t="s">
        <v>290</v>
      </c>
      <c r="H357" s="53" t="s">
        <v>291</v>
      </c>
      <c r="I357" s="85" t="s">
        <v>505</v>
      </c>
      <c r="J357" s="85" t="s">
        <v>506</v>
      </c>
      <c r="K357" s="85" t="s">
        <v>365</v>
      </c>
      <c r="L357" s="53" t="s">
        <v>216</v>
      </c>
      <c r="M357" s="53" t="s">
        <v>295</v>
      </c>
      <c r="N357" s="53"/>
      <c r="O357" s="85" t="s">
        <v>135</v>
      </c>
      <c r="P357" s="53">
        <v>1</v>
      </c>
      <c r="Q357" s="183">
        <v>20</v>
      </c>
      <c r="R357" s="84">
        <v>0.89700000000000002</v>
      </c>
      <c r="S357" s="53">
        <v>24.3</v>
      </c>
      <c r="T357" s="53"/>
      <c r="U357" s="53">
        <v>3</v>
      </c>
      <c r="V357" s="53">
        <v>480</v>
      </c>
      <c r="W357" s="53"/>
      <c r="X357" s="53"/>
      <c r="Y357" s="53"/>
      <c r="Z357" s="53"/>
      <c r="AA357" s="53"/>
      <c r="AB357" s="53"/>
      <c r="AC357" s="137" t="s">
        <v>124</v>
      </c>
      <c r="AD357" s="138" t="s">
        <v>118</v>
      </c>
      <c r="AE357" s="83">
        <v>8760</v>
      </c>
      <c r="AF357" s="139">
        <v>1</v>
      </c>
      <c r="AG357" s="139">
        <f t="shared" si="70"/>
        <v>0.82191780821917804</v>
      </c>
      <c r="AH357" s="139">
        <v>0.6</v>
      </c>
      <c r="AI357" s="139">
        <v>0.6</v>
      </c>
      <c r="AJ357" s="83">
        <f t="shared" si="60"/>
        <v>2880</v>
      </c>
      <c r="AK357" s="83">
        <f t="shared" si="61"/>
        <v>4320</v>
      </c>
      <c r="AL357" s="104">
        <f t="shared" si="62"/>
        <v>9.9799331103678917</v>
      </c>
      <c r="AM357" s="104">
        <f t="shared" si="63"/>
        <v>9.9799331103678917</v>
      </c>
      <c r="AN357" s="83">
        <f t="shared" si="64"/>
        <v>28742.207357859526</v>
      </c>
      <c r="AO357" s="83">
        <f t="shared" si="65"/>
        <v>43113.311036789295</v>
      </c>
      <c r="AP357" s="182">
        <f t="shared" si="66"/>
        <v>98.072435414046794</v>
      </c>
      <c r="AQ357" s="182">
        <f t="shared" si="67"/>
        <v>147.1086531210702</v>
      </c>
      <c r="AR357" s="85"/>
      <c r="AS357" s="85"/>
      <c r="AT357" s="53"/>
      <c r="AU357" s="53"/>
      <c r="AV357" s="53"/>
      <c r="AW357" s="53"/>
      <c r="AX357" s="53"/>
      <c r="AY357" s="53"/>
      <c r="AZ357" s="53"/>
      <c r="BA357" s="53"/>
      <c r="BB357" s="53"/>
      <c r="BC357" s="111">
        <f t="shared" si="68"/>
        <v>28742.207357859526</v>
      </c>
      <c r="BD357" s="111">
        <f t="shared" si="69"/>
        <v>43113.311036789295</v>
      </c>
    </row>
    <row r="358" spans="1:56" ht="15.75" x14ac:dyDescent="0.25">
      <c r="A358" s="53">
        <v>348</v>
      </c>
      <c r="B358" s="53"/>
      <c r="C358" s="53"/>
      <c r="D358" s="53" t="s">
        <v>135</v>
      </c>
      <c r="E358" s="53"/>
      <c r="F358" s="53"/>
      <c r="G358" s="53" t="s">
        <v>290</v>
      </c>
      <c r="H358" s="53" t="s">
        <v>291</v>
      </c>
      <c r="I358" s="85" t="s">
        <v>505</v>
      </c>
      <c r="J358" s="85" t="s">
        <v>506</v>
      </c>
      <c r="K358" s="85" t="s">
        <v>365</v>
      </c>
      <c r="L358" s="53" t="s">
        <v>216</v>
      </c>
      <c r="M358" s="53" t="s">
        <v>295</v>
      </c>
      <c r="N358" s="53"/>
      <c r="O358" s="85" t="s">
        <v>135</v>
      </c>
      <c r="P358" s="53">
        <v>1</v>
      </c>
      <c r="Q358" s="183">
        <v>20</v>
      </c>
      <c r="R358" s="84">
        <v>0.89700000000000002</v>
      </c>
      <c r="S358" s="53">
        <v>24.3</v>
      </c>
      <c r="T358" s="53"/>
      <c r="U358" s="53">
        <v>3</v>
      </c>
      <c r="V358" s="53">
        <v>480</v>
      </c>
      <c r="W358" s="53"/>
      <c r="X358" s="53"/>
      <c r="Y358" s="53"/>
      <c r="Z358" s="53"/>
      <c r="AA358" s="53"/>
      <c r="AB358" s="53"/>
      <c r="AC358" s="137" t="s">
        <v>124</v>
      </c>
      <c r="AD358" s="138" t="s">
        <v>118</v>
      </c>
      <c r="AE358" s="83">
        <v>8760</v>
      </c>
      <c r="AF358" s="139">
        <v>1</v>
      </c>
      <c r="AG358" s="139">
        <f t="shared" si="70"/>
        <v>0.82191780821917804</v>
      </c>
      <c r="AH358" s="139">
        <v>0.6</v>
      </c>
      <c r="AI358" s="139">
        <v>0.6</v>
      </c>
      <c r="AJ358" s="83">
        <f t="shared" si="60"/>
        <v>2880</v>
      </c>
      <c r="AK358" s="83">
        <f t="shared" si="61"/>
        <v>4320</v>
      </c>
      <c r="AL358" s="104">
        <f t="shared" si="62"/>
        <v>9.9799331103678917</v>
      </c>
      <c r="AM358" s="104">
        <f t="shared" si="63"/>
        <v>9.9799331103678917</v>
      </c>
      <c r="AN358" s="83">
        <f t="shared" si="64"/>
        <v>28742.207357859526</v>
      </c>
      <c r="AO358" s="83">
        <f t="shared" si="65"/>
        <v>43113.311036789295</v>
      </c>
      <c r="AP358" s="182">
        <f t="shared" si="66"/>
        <v>98.072435414046794</v>
      </c>
      <c r="AQ358" s="182">
        <f t="shared" si="67"/>
        <v>147.1086531210702</v>
      </c>
      <c r="AR358" s="85"/>
      <c r="AS358" s="85"/>
      <c r="AT358" s="53"/>
      <c r="AU358" s="53"/>
      <c r="AV358" s="53"/>
      <c r="AW358" s="53"/>
      <c r="AX358" s="53"/>
      <c r="AY358" s="53"/>
      <c r="AZ358" s="53"/>
      <c r="BA358" s="53"/>
      <c r="BB358" s="53"/>
      <c r="BC358" s="111">
        <f t="shared" si="68"/>
        <v>28742.207357859526</v>
      </c>
      <c r="BD358" s="111">
        <f t="shared" si="69"/>
        <v>43113.311036789295</v>
      </c>
    </row>
    <row r="359" spans="1:56" ht="15.75" x14ac:dyDescent="0.25">
      <c r="A359" s="53">
        <v>349</v>
      </c>
      <c r="B359" s="53"/>
      <c r="C359" s="53"/>
      <c r="D359" s="53" t="s">
        <v>135</v>
      </c>
      <c r="E359" s="53"/>
      <c r="F359" s="53"/>
      <c r="G359" s="53" t="s">
        <v>290</v>
      </c>
      <c r="H359" s="53" t="s">
        <v>291</v>
      </c>
      <c r="I359" s="85" t="s">
        <v>505</v>
      </c>
      <c r="J359" s="85" t="s">
        <v>506</v>
      </c>
      <c r="K359" s="85" t="s">
        <v>365</v>
      </c>
      <c r="L359" s="53" t="s">
        <v>216</v>
      </c>
      <c r="M359" s="53" t="s">
        <v>295</v>
      </c>
      <c r="N359" s="53"/>
      <c r="O359" s="85" t="s">
        <v>135</v>
      </c>
      <c r="P359" s="53">
        <v>1</v>
      </c>
      <c r="Q359" s="183">
        <v>20</v>
      </c>
      <c r="R359" s="84">
        <v>0.89700000000000002</v>
      </c>
      <c r="S359" s="53">
        <v>24.3</v>
      </c>
      <c r="T359" s="53"/>
      <c r="U359" s="53">
        <v>3</v>
      </c>
      <c r="V359" s="53">
        <v>480</v>
      </c>
      <c r="W359" s="53"/>
      <c r="X359" s="53"/>
      <c r="Y359" s="53"/>
      <c r="Z359" s="53"/>
      <c r="AA359" s="53"/>
      <c r="AB359" s="53"/>
      <c r="AC359" s="137" t="s">
        <v>124</v>
      </c>
      <c r="AD359" s="138" t="s">
        <v>118</v>
      </c>
      <c r="AE359" s="83">
        <v>8760</v>
      </c>
      <c r="AF359" s="139">
        <v>1</v>
      </c>
      <c r="AG359" s="139">
        <f t="shared" si="70"/>
        <v>0.82191780821917804</v>
      </c>
      <c r="AH359" s="139">
        <v>0.6</v>
      </c>
      <c r="AI359" s="139">
        <v>0.6</v>
      </c>
      <c r="AJ359" s="83">
        <f t="shared" si="60"/>
        <v>2880</v>
      </c>
      <c r="AK359" s="83">
        <f t="shared" si="61"/>
        <v>4320</v>
      </c>
      <c r="AL359" s="104">
        <f t="shared" si="62"/>
        <v>9.9799331103678917</v>
      </c>
      <c r="AM359" s="104">
        <f t="shared" si="63"/>
        <v>9.9799331103678917</v>
      </c>
      <c r="AN359" s="83">
        <f t="shared" si="64"/>
        <v>28742.207357859526</v>
      </c>
      <c r="AO359" s="83">
        <f t="shared" si="65"/>
        <v>43113.311036789295</v>
      </c>
      <c r="AP359" s="182">
        <f t="shared" si="66"/>
        <v>98.072435414046794</v>
      </c>
      <c r="AQ359" s="182">
        <f t="shared" si="67"/>
        <v>147.1086531210702</v>
      </c>
      <c r="AR359" s="85"/>
      <c r="AS359" s="85"/>
      <c r="AT359" s="53"/>
      <c r="AU359" s="53"/>
      <c r="AV359" s="53"/>
      <c r="AW359" s="53"/>
      <c r="AX359" s="53"/>
      <c r="AY359" s="53"/>
      <c r="AZ359" s="53"/>
      <c r="BA359" s="53"/>
      <c r="BB359" s="53"/>
      <c r="BC359" s="111">
        <f t="shared" si="68"/>
        <v>28742.207357859526</v>
      </c>
      <c r="BD359" s="111">
        <f t="shared" si="69"/>
        <v>43113.311036789295</v>
      </c>
    </row>
    <row r="360" spans="1:56" ht="15.75" x14ac:dyDescent="0.25">
      <c r="A360" s="53">
        <v>350</v>
      </c>
      <c r="B360" s="53"/>
      <c r="C360" s="53"/>
      <c r="D360" s="53" t="s">
        <v>135</v>
      </c>
      <c r="E360" s="53"/>
      <c r="F360" s="53"/>
      <c r="G360" s="53" t="s">
        <v>290</v>
      </c>
      <c r="H360" s="53" t="s">
        <v>291</v>
      </c>
      <c r="I360" s="85" t="s">
        <v>505</v>
      </c>
      <c r="J360" s="85" t="s">
        <v>506</v>
      </c>
      <c r="K360" s="85" t="s">
        <v>365</v>
      </c>
      <c r="L360" s="53" t="s">
        <v>216</v>
      </c>
      <c r="M360" s="53" t="s">
        <v>295</v>
      </c>
      <c r="N360" s="53"/>
      <c r="O360" s="85" t="s">
        <v>135</v>
      </c>
      <c r="P360" s="53">
        <v>1</v>
      </c>
      <c r="Q360" s="183">
        <v>20</v>
      </c>
      <c r="R360" s="84">
        <v>0.89700000000000002</v>
      </c>
      <c r="S360" s="53">
        <v>24.3</v>
      </c>
      <c r="T360" s="53"/>
      <c r="U360" s="53">
        <v>3</v>
      </c>
      <c r="V360" s="53">
        <v>480</v>
      </c>
      <c r="W360" s="53"/>
      <c r="X360" s="53"/>
      <c r="Y360" s="53"/>
      <c r="Z360" s="53"/>
      <c r="AA360" s="53"/>
      <c r="AB360" s="53"/>
      <c r="AC360" s="137" t="s">
        <v>124</v>
      </c>
      <c r="AD360" s="138" t="s">
        <v>118</v>
      </c>
      <c r="AE360" s="83">
        <v>8760</v>
      </c>
      <c r="AF360" s="139">
        <v>1</v>
      </c>
      <c r="AG360" s="139">
        <f t="shared" si="70"/>
        <v>0.82191780821917804</v>
      </c>
      <c r="AH360" s="139">
        <v>0.6</v>
      </c>
      <c r="AI360" s="139">
        <v>0.6</v>
      </c>
      <c r="AJ360" s="83">
        <f t="shared" si="60"/>
        <v>2880</v>
      </c>
      <c r="AK360" s="83">
        <f t="shared" si="61"/>
        <v>4320</v>
      </c>
      <c r="AL360" s="104">
        <f t="shared" si="62"/>
        <v>9.9799331103678917</v>
      </c>
      <c r="AM360" s="104">
        <f t="shared" si="63"/>
        <v>9.9799331103678917</v>
      </c>
      <c r="AN360" s="83">
        <f t="shared" si="64"/>
        <v>28742.207357859526</v>
      </c>
      <c r="AO360" s="83">
        <f t="shared" si="65"/>
        <v>43113.311036789295</v>
      </c>
      <c r="AP360" s="182">
        <f t="shared" si="66"/>
        <v>98.072435414046794</v>
      </c>
      <c r="AQ360" s="182">
        <f t="shared" si="67"/>
        <v>147.1086531210702</v>
      </c>
      <c r="AR360" s="85"/>
      <c r="AS360" s="85"/>
      <c r="AT360" s="53"/>
      <c r="AU360" s="53"/>
      <c r="AV360" s="53"/>
      <c r="AW360" s="53"/>
      <c r="AX360" s="53"/>
      <c r="AY360" s="53"/>
      <c r="AZ360" s="53"/>
      <c r="BA360" s="53"/>
      <c r="BB360" s="53"/>
      <c r="BC360" s="111">
        <f t="shared" si="68"/>
        <v>28742.207357859526</v>
      </c>
      <c r="BD360" s="111">
        <f t="shared" si="69"/>
        <v>43113.311036789295</v>
      </c>
    </row>
    <row r="361" spans="1:56" ht="15.75" x14ac:dyDescent="0.25">
      <c r="A361" s="53">
        <v>351</v>
      </c>
      <c r="B361" s="53"/>
      <c r="C361" s="53"/>
      <c r="D361" s="53" t="s">
        <v>135</v>
      </c>
      <c r="E361" s="53"/>
      <c r="F361" s="53"/>
      <c r="G361" s="53" t="s">
        <v>290</v>
      </c>
      <c r="H361" s="53" t="s">
        <v>291</v>
      </c>
      <c r="I361" s="85" t="s">
        <v>643</v>
      </c>
      <c r="J361" s="85" t="s">
        <v>644</v>
      </c>
      <c r="K361" s="85" t="s">
        <v>365</v>
      </c>
      <c r="L361" s="53" t="s">
        <v>216</v>
      </c>
      <c r="M361" s="53" t="s">
        <v>295</v>
      </c>
      <c r="N361" s="53"/>
      <c r="O361" s="85" t="s">
        <v>645</v>
      </c>
      <c r="P361" s="53">
        <v>1</v>
      </c>
      <c r="Q361" s="183">
        <v>10</v>
      </c>
      <c r="R361" s="84">
        <v>0.87050000000000005</v>
      </c>
      <c r="S361" s="53">
        <v>14</v>
      </c>
      <c r="T361" s="53"/>
      <c r="U361" s="53">
        <v>3</v>
      </c>
      <c r="V361" s="53">
        <v>480</v>
      </c>
      <c r="W361" s="53"/>
      <c r="X361" s="53"/>
      <c r="Y361" s="53"/>
      <c r="Z361" s="53"/>
      <c r="AA361" s="53"/>
      <c r="AB361" s="53"/>
      <c r="AC361" s="137" t="s">
        <v>124</v>
      </c>
      <c r="AD361" s="138" t="s">
        <v>118</v>
      </c>
      <c r="AE361" s="83">
        <v>8760</v>
      </c>
      <c r="AF361" s="139">
        <v>1</v>
      </c>
      <c r="AG361" s="139">
        <f t="shared" si="70"/>
        <v>0.82191780821917804</v>
      </c>
      <c r="AH361" s="139">
        <v>0.6</v>
      </c>
      <c r="AI361" s="139">
        <v>0.6</v>
      </c>
      <c r="AJ361" s="83">
        <f t="shared" si="60"/>
        <v>2880</v>
      </c>
      <c r="AK361" s="83">
        <f t="shared" si="61"/>
        <v>4320</v>
      </c>
      <c r="AL361" s="104">
        <f t="shared" si="62"/>
        <v>5.1418724870763919</v>
      </c>
      <c r="AM361" s="104">
        <f t="shared" si="63"/>
        <v>5.1418724870763919</v>
      </c>
      <c r="AN361" s="83">
        <f t="shared" si="64"/>
        <v>14808.592762780008</v>
      </c>
      <c r="AO361" s="83">
        <f t="shared" si="65"/>
        <v>22212.889144170014</v>
      </c>
      <c r="AP361" s="182">
        <f t="shared" si="66"/>
        <v>50.528991709592177</v>
      </c>
      <c r="AQ361" s="182">
        <f t="shared" si="67"/>
        <v>75.793487564388272</v>
      </c>
      <c r="AR361" s="85"/>
      <c r="AS361" s="85"/>
      <c r="AT361" s="53"/>
      <c r="AU361" s="53"/>
      <c r="AV361" s="53"/>
      <c r="AW361" s="53"/>
      <c r="AX361" s="53"/>
      <c r="AY361" s="53"/>
      <c r="AZ361" s="53"/>
      <c r="BA361" s="53"/>
      <c r="BB361" s="53"/>
      <c r="BC361" s="111">
        <f t="shared" si="68"/>
        <v>14808.592762780008</v>
      </c>
      <c r="BD361" s="111">
        <f t="shared" si="69"/>
        <v>22212.889144170014</v>
      </c>
    </row>
    <row r="362" spans="1:56" ht="15.75" x14ac:dyDescent="0.25">
      <c r="A362" s="53">
        <v>352</v>
      </c>
      <c r="B362" s="53"/>
      <c r="C362" s="53"/>
      <c r="D362" s="53" t="s">
        <v>135</v>
      </c>
      <c r="E362" s="53"/>
      <c r="F362" s="53"/>
      <c r="G362" s="53" t="s">
        <v>290</v>
      </c>
      <c r="H362" s="53" t="s">
        <v>291</v>
      </c>
      <c r="I362" s="85" t="s">
        <v>578</v>
      </c>
      <c r="J362" s="85" t="s">
        <v>675</v>
      </c>
      <c r="K362" s="85" t="s">
        <v>673</v>
      </c>
      <c r="L362" s="53" t="s">
        <v>216</v>
      </c>
      <c r="M362" s="53" t="s">
        <v>295</v>
      </c>
      <c r="N362" s="53"/>
      <c r="O362" s="85" t="s">
        <v>135</v>
      </c>
      <c r="P362" s="53">
        <v>1</v>
      </c>
      <c r="Q362" s="183">
        <v>7.5</v>
      </c>
      <c r="R362" s="84">
        <v>0.87050000000000005</v>
      </c>
      <c r="S362" s="53">
        <v>10</v>
      </c>
      <c r="T362" s="53"/>
      <c r="U362" s="53">
        <v>3</v>
      </c>
      <c r="V362" s="53">
        <v>480</v>
      </c>
      <c r="W362" s="53"/>
      <c r="X362" s="53"/>
      <c r="Y362" s="53"/>
      <c r="Z362" s="53"/>
      <c r="AA362" s="53"/>
      <c r="AB362" s="53"/>
      <c r="AC362" s="137" t="s">
        <v>124</v>
      </c>
      <c r="AD362" s="138" t="s">
        <v>118</v>
      </c>
      <c r="AE362" s="83">
        <v>8760</v>
      </c>
      <c r="AF362" s="139">
        <v>1</v>
      </c>
      <c r="AG362" s="139">
        <f t="shared" si="70"/>
        <v>0.82191780821917804</v>
      </c>
      <c r="AH362" s="139">
        <v>0.6</v>
      </c>
      <c r="AI362" s="139">
        <v>0.6</v>
      </c>
      <c r="AJ362" s="83">
        <f t="shared" si="60"/>
        <v>2880</v>
      </c>
      <c r="AK362" s="83">
        <f t="shared" si="61"/>
        <v>4320</v>
      </c>
      <c r="AL362" s="104">
        <f t="shared" si="62"/>
        <v>3.8564043653072941</v>
      </c>
      <c r="AM362" s="104">
        <f t="shared" si="63"/>
        <v>3.8564043653072941</v>
      </c>
      <c r="AN362" s="83">
        <f t="shared" si="64"/>
        <v>11106.444572085007</v>
      </c>
      <c r="AO362" s="83">
        <f t="shared" si="65"/>
        <v>16659.666858127512</v>
      </c>
      <c r="AP362" s="182">
        <f t="shared" si="66"/>
        <v>37.896743782194136</v>
      </c>
      <c r="AQ362" s="182">
        <f t="shared" si="67"/>
        <v>56.845115673291204</v>
      </c>
      <c r="AR362" s="85"/>
      <c r="AS362" s="85"/>
      <c r="AT362" s="53"/>
      <c r="AU362" s="53"/>
      <c r="AV362" s="53"/>
      <c r="AW362" s="53"/>
      <c r="AX362" s="53"/>
      <c r="AY362" s="53"/>
      <c r="AZ362" s="53"/>
      <c r="BA362" s="53"/>
      <c r="BB362" s="53"/>
      <c r="BC362" s="111">
        <f t="shared" si="68"/>
        <v>11106.444572085007</v>
      </c>
      <c r="BD362" s="111">
        <f t="shared" si="69"/>
        <v>16659.666858127512</v>
      </c>
    </row>
    <row r="363" spans="1:56" ht="15.75" x14ac:dyDescent="0.25">
      <c r="A363" s="53">
        <v>353</v>
      </c>
      <c r="B363" s="53"/>
      <c r="C363" s="53"/>
      <c r="D363" s="53" t="s">
        <v>135</v>
      </c>
      <c r="E363" s="53"/>
      <c r="F363" s="53"/>
      <c r="G363" s="53" t="s">
        <v>290</v>
      </c>
      <c r="H363" s="53" t="s">
        <v>291</v>
      </c>
      <c r="I363" s="85" t="s">
        <v>578</v>
      </c>
      <c r="J363" s="85" t="s">
        <v>578</v>
      </c>
      <c r="K363" s="85" t="s">
        <v>294</v>
      </c>
      <c r="L363" s="53" t="s">
        <v>216</v>
      </c>
      <c r="M363" s="53" t="s">
        <v>295</v>
      </c>
      <c r="N363" s="53"/>
      <c r="O363" s="85" t="s">
        <v>135</v>
      </c>
      <c r="P363" s="53">
        <v>1</v>
      </c>
      <c r="Q363" s="183">
        <v>15</v>
      </c>
      <c r="R363" s="84">
        <v>0.87850000000000006</v>
      </c>
      <c r="S363" s="53">
        <v>21</v>
      </c>
      <c r="T363" s="53"/>
      <c r="U363" s="53">
        <v>3</v>
      </c>
      <c r="V363" s="53">
        <v>480</v>
      </c>
      <c r="W363" s="53"/>
      <c r="X363" s="53"/>
      <c r="Y363" s="53"/>
      <c r="Z363" s="53"/>
      <c r="AA363" s="53"/>
      <c r="AB363" s="53"/>
      <c r="AC363" s="137" t="s">
        <v>124</v>
      </c>
      <c r="AD363" s="138" t="s">
        <v>118</v>
      </c>
      <c r="AE363" s="83">
        <v>8760</v>
      </c>
      <c r="AF363" s="139">
        <v>1</v>
      </c>
      <c r="AG363" s="139">
        <f t="shared" si="70"/>
        <v>0.82191780821917804</v>
      </c>
      <c r="AH363" s="139">
        <v>0.6</v>
      </c>
      <c r="AI363" s="139">
        <v>0.6</v>
      </c>
      <c r="AJ363" s="83">
        <f t="shared" si="60"/>
        <v>2880</v>
      </c>
      <c r="AK363" s="83">
        <f t="shared" si="61"/>
        <v>4320</v>
      </c>
      <c r="AL363" s="104">
        <f t="shared" si="62"/>
        <v>7.642572566875355</v>
      </c>
      <c r="AM363" s="104">
        <f t="shared" si="63"/>
        <v>7.642572566875355</v>
      </c>
      <c r="AN363" s="83">
        <f t="shared" si="64"/>
        <v>22010.608992601021</v>
      </c>
      <c r="AO363" s="83">
        <f t="shared" si="65"/>
        <v>33015.913488901533</v>
      </c>
      <c r="AP363" s="182">
        <f t="shared" si="66"/>
        <v>75.103279368013645</v>
      </c>
      <c r="AQ363" s="182">
        <f t="shared" si="67"/>
        <v>112.65491905202047</v>
      </c>
      <c r="AR363" s="85"/>
      <c r="AS363" s="85"/>
      <c r="AT363" s="53"/>
      <c r="AU363" s="53"/>
      <c r="AV363" s="53"/>
      <c r="AW363" s="53"/>
      <c r="AX363" s="53"/>
      <c r="AY363" s="53"/>
      <c r="AZ363" s="53"/>
      <c r="BA363" s="53"/>
      <c r="BB363" s="53"/>
      <c r="BC363" s="111">
        <f t="shared" si="68"/>
        <v>22010.608992601021</v>
      </c>
      <c r="BD363" s="111">
        <f t="shared" si="69"/>
        <v>33015.913488901533</v>
      </c>
    </row>
    <row r="364" spans="1:56" ht="15.75" x14ac:dyDescent="0.25">
      <c r="A364" s="53">
        <v>354</v>
      </c>
      <c r="B364" s="53"/>
      <c r="C364" s="53"/>
      <c r="D364" s="53" t="s">
        <v>135</v>
      </c>
      <c r="E364" s="53"/>
      <c r="F364" s="53"/>
      <c r="G364" s="53" t="s">
        <v>290</v>
      </c>
      <c r="H364" s="53" t="s">
        <v>291</v>
      </c>
      <c r="I364" s="85" t="s">
        <v>578</v>
      </c>
      <c r="J364" s="85" t="s">
        <v>578</v>
      </c>
      <c r="K364" s="85" t="s">
        <v>365</v>
      </c>
      <c r="L364" s="53" t="s">
        <v>216</v>
      </c>
      <c r="M364" s="53" t="s">
        <v>295</v>
      </c>
      <c r="N364" s="53"/>
      <c r="O364" s="85" t="s">
        <v>135</v>
      </c>
      <c r="P364" s="53">
        <v>1</v>
      </c>
      <c r="Q364" s="183">
        <v>3</v>
      </c>
      <c r="R364" s="84">
        <v>0.87050000000000005</v>
      </c>
      <c r="S364" s="53">
        <v>4.8</v>
      </c>
      <c r="T364" s="53"/>
      <c r="U364" s="53">
        <v>3</v>
      </c>
      <c r="V364" s="53">
        <v>480</v>
      </c>
      <c r="W364" s="53"/>
      <c r="X364" s="53"/>
      <c r="Y364" s="53"/>
      <c r="Z364" s="53"/>
      <c r="AA364" s="53"/>
      <c r="AB364" s="53"/>
      <c r="AC364" s="137" t="s">
        <v>124</v>
      </c>
      <c r="AD364" s="138" t="s">
        <v>118</v>
      </c>
      <c r="AE364" s="83">
        <v>8760</v>
      </c>
      <c r="AF364" s="139">
        <v>1</v>
      </c>
      <c r="AG364" s="139">
        <f t="shared" si="70"/>
        <v>0.82191780821917804</v>
      </c>
      <c r="AH364" s="139">
        <v>0.6</v>
      </c>
      <c r="AI364" s="139">
        <v>0.6</v>
      </c>
      <c r="AJ364" s="83">
        <f t="shared" si="60"/>
        <v>2880</v>
      </c>
      <c r="AK364" s="83">
        <f t="shared" si="61"/>
        <v>4320</v>
      </c>
      <c r="AL364" s="104">
        <f t="shared" si="62"/>
        <v>1.5425617461229177</v>
      </c>
      <c r="AM364" s="104">
        <f t="shared" si="63"/>
        <v>1.5425617461229177</v>
      </c>
      <c r="AN364" s="83">
        <f t="shared" si="64"/>
        <v>4442.5778288340034</v>
      </c>
      <c r="AO364" s="83">
        <f t="shared" si="65"/>
        <v>6663.8667432510047</v>
      </c>
      <c r="AP364" s="182">
        <f t="shared" si="66"/>
        <v>15.158697512877657</v>
      </c>
      <c r="AQ364" s="182">
        <f t="shared" si="67"/>
        <v>22.738046269316484</v>
      </c>
      <c r="AR364" s="85"/>
      <c r="AS364" s="85"/>
      <c r="AT364" s="53"/>
      <c r="AU364" s="53"/>
      <c r="AV364" s="53"/>
      <c r="AW364" s="53"/>
      <c r="AX364" s="53"/>
      <c r="AY364" s="53"/>
      <c r="AZ364" s="53"/>
      <c r="BA364" s="53"/>
      <c r="BB364" s="53"/>
      <c r="BC364" s="111">
        <f t="shared" si="68"/>
        <v>4442.5778288340034</v>
      </c>
      <c r="BD364" s="111">
        <f t="shared" si="69"/>
        <v>6663.8667432510047</v>
      </c>
    </row>
    <row r="365" spans="1:56" ht="15.75" x14ac:dyDescent="0.25">
      <c r="A365" s="53">
        <v>355</v>
      </c>
      <c r="B365" s="53"/>
      <c r="C365" s="53"/>
      <c r="D365" s="53" t="s">
        <v>135</v>
      </c>
      <c r="E365" s="53"/>
      <c r="F365" s="53"/>
      <c r="G365" s="53" t="s">
        <v>290</v>
      </c>
      <c r="H365" s="53" t="s">
        <v>291</v>
      </c>
      <c r="I365" s="85" t="s">
        <v>578</v>
      </c>
      <c r="J365" s="85" t="s">
        <v>934</v>
      </c>
      <c r="K365" s="85" t="s">
        <v>360</v>
      </c>
      <c r="L365" s="53" t="s">
        <v>216</v>
      </c>
      <c r="M365" s="53" t="s">
        <v>361</v>
      </c>
      <c r="N365" s="53"/>
      <c r="O365" s="85" t="s">
        <v>135</v>
      </c>
      <c r="P365" s="53">
        <v>1</v>
      </c>
      <c r="Q365" s="183">
        <v>0.75</v>
      </c>
      <c r="R365" s="84">
        <v>0.87050000000000005</v>
      </c>
      <c r="S365" s="53">
        <v>1.4</v>
      </c>
      <c r="T365" s="53"/>
      <c r="U365" s="53">
        <v>3</v>
      </c>
      <c r="V365" s="53">
        <v>480</v>
      </c>
      <c r="W365" s="53"/>
      <c r="X365" s="53"/>
      <c r="Y365" s="53"/>
      <c r="Z365" s="53"/>
      <c r="AA365" s="53"/>
      <c r="AB365" s="53"/>
      <c r="AC365" s="137" t="s">
        <v>124</v>
      </c>
      <c r="AD365" s="138" t="s">
        <v>118</v>
      </c>
      <c r="AE365" s="83">
        <v>8760</v>
      </c>
      <c r="AF365" s="139">
        <v>1</v>
      </c>
      <c r="AG365" s="139">
        <f t="shared" si="70"/>
        <v>0.82191780821917804</v>
      </c>
      <c r="AH365" s="139">
        <v>0.75</v>
      </c>
      <c r="AI365" s="139">
        <v>0.75</v>
      </c>
      <c r="AJ365" s="83">
        <f t="shared" si="60"/>
        <v>2880</v>
      </c>
      <c r="AK365" s="83">
        <f t="shared" si="61"/>
        <v>4320</v>
      </c>
      <c r="AL365" s="104">
        <f t="shared" si="62"/>
        <v>0.48205054566341182</v>
      </c>
      <c r="AM365" s="104">
        <f t="shared" si="63"/>
        <v>0.48205054566341182</v>
      </c>
      <c r="AN365" s="83">
        <f t="shared" si="64"/>
        <v>1388.3055715106261</v>
      </c>
      <c r="AO365" s="83">
        <f t="shared" si="65"/>
        <v>2082.458357265939</v>
      </c>
      <c r="AP365" s="182">
        <f t="shared" si="66"/>
        <v>4.737092972774267</v>
      </c>
      <c r="AQ365" s="182">
        <f t="shared" si="67"/>
        <v>7.1056394591614005</v>
      </c>
      <c r="AR365" s="85"/>
      <c r="AS365" s="85"/>
      <c r="AT365" s="53"/>
      <c r="AU365" s="53"/>
      <c r="AV365" s="53"/>
      <c r="AW365" s="53"/>
      <c r="AX365" s="53"/>
      <c r="AY365" s="53"/>
      <c r="AZ365" s="53"/>
      <c r="BA365" s="53"/>
      <c r="BB365" s="53"/>
      <c r="BC365" s="111">
        <f t="shared" si="68"/>
        <v>1388.3055715106261</v>
      </c>
      <c r="BD365" s="111">
        <f t="shared" si="69"/>
        <v>2082.458357265939</v>
      </c>
    </row>
    <row r="366" spans="1:56" ht="15.75" x14ac:dyDescent="0.25">
      <c r="A366" s="53">
        <v>356</v>
      </c>
      <c r="B366" s="53"/>
      <c r="C366" s="53"/>
      <c r="D366" s="53" t="s">
        <v>135</v>
      </c>
      <c r="E366" s="53"/>
      <c r="F366" s="53"/>
      <c r="G366" s="53" t="s">
        <v>290</v>
      </c>
      <c r="H366" s="53" t="s">
        <v>291</v>
      </c>
      <c r="I366" s="85" t="s">
        <v>578</v>
      </c>
      <c r="J366" s="85" t="s">
        <v>698</v>
      </c>
      <c r="K366" s="85" t="s">
        <v>696</v>
      </c>
      <c r="L366" s="53" t="s">
        <v>216</v>
      </c>
      <c r="M366" s="53" t="s">
        <v>295</v>
      </c>
      <c r="N366" s="53"/>
      <c r="O366" s="85" t="s">
        <v>135</v>
      </c>
      <c r="P366" s="53">
        <v>1</v>
      </c>
      <c r="Q366" s="183">
        <v>7.5</v>
      </c>
      <c r="R366" s="84">
        <v>0.87050000000000005</v>
      </c>
      <c r="S366" s="53">
        <v>10</v>
      </c>
      <c r="T366" s="53"/>
      <c r="U366" s="53">
        <v>3</v>
      </c>
      <c r="V366" s="53">
        <v>480</v>
      </c>
      <c r="W366" s="53"/>
      <c r="X366" s="53"/>
      <c r="Y366" s="53"/>
      <c r="Z366" s="53"/>
      <c r="AA366" s="53"/>
      <c r="AB366" s="53"/>
      <c r="AC366" s="137" t="s">
        <v>124</v>
      </c>
      <c r="AD366" s="138" t="s">
        <v>118</v>
      </c>
      <c r="AE366" s="83">
        <v>8760</v>
      </c>
      <c r="AF366" s="139">
        <v>1</v>
      </c>
      <c r="AG366" s="139">
        <f t="shared" si="70"/>
        <v>0.82191780821917804</v>
      </c>
      <c r="AH366" s="139">
        <v>0.6</v>
      </c>
      <c r="AI366" s="139">
        <v>0.6</v>
      </c>
      <c r="AJ366" s="83">
        <f t="shared" si="60"/>
        <v>2880</v>
      </c>
      <c r="AK366" s="83">
        <f t="shared" si="61"/>
        <v>4320</v>
      </c>
      <c r="AL366" s="104">
        <f t="shared" si="62"/>
        <v>3.8564043653072941</v>
      </c>
      <c r="AM366" s="104">
        <f t="shared" si="63"/>
        <v>3.8564043653072941</v>
      </c>
      <c r="AN366" s="83">
        <f t="shared" si="64"/>
        <v>11106.444572085007</v>
      </c>
      <c r="AO366" s="83">
        <f t="shared" si="65"/>
        <v>16659.666858127512</v>
      </c>
      <c r="AP366" s="182">
        <f t="shared" si="66"/>
        <v>37.896743782194136</v>
      </c>
      <c r="AQ366" s="182">
        <f t="shared" si="67"/>
        <v>56.845115673291204</v>
      </c>
      <c r="AR366" s="85"/>
      <c r="AS366" s="85"/>
      <c r="AT366" s="53"/>
      <c r="AU366" s="53"/>
      <c r="AV366" s="53"/>
      <c r="AW366" s="53"/>
      <c r="AX366" s="53"/>
      <c r="AY366" s="53"/>
      <c r="AZ366" s="53"/>
      <c r="BA366" s="53"/>
      <c r="BB366" s="53"/>
      <c r="BC366" s="111">
        <f t="shared" si="68"/>
        <v>11106.444572085007</v>
      </c>
      <c r="BD366" s="111">
        <f t="shared" si="69"/>
        <v>16659.666858127512</v>
      </c>
    </row>
    <row r="367" spans="1:56" ht="15.75" x14ac:dyDescent="0.25">
      <c r="A367" s="53">
        <v>357</v>
      </c>
      <c r="B367" s="53"/>
      <c r="C367" s="53"/>
      <c r="D367" s="53" t="s">
        <v>135</v>
      </c>
      <c r="E367" s="53"/>
      <c r="F367" s="53"/>
      <c r="G367" s="53" t="s">
        <v>290</v>
      </c>
      <c r="H367" s="53" t="s">
        <v>291</v>
      </c>
      <c r="I367" s="85" t="s">
        <v>578</v>
      </c>
      <c r="J367" s="85" t="s">
        <v>640</v>
      </c>
      <c r="K367" s="85" t="s">
        <v>365</v>
      </c>
      <c r="L367" s="53" t="s">
        <v>216</v>
      </c>
      <c r="M367" s="53" t="s">
        <v>295</v>
      </c>
      <c r="N367" s="53"/>
      <c r="O367" s="85" t="s">
        <v>135</v>
      </c>
      <c r="P367" s="53">
        <v>1</v>
      </c>
      <c r="Q367" s="183">
        <v>3</v>
      </c>
      <c r="R367" s="84">
        <v>0.87050000000000005</v>
      </c>
      <c r="S367" s="53">
        <v>4.8</v>
      </c>
      <c r="T367" s="53"/>
      <c r="U367" s="53">
        <v>3</v>
      </c>
      <c r="V367" s="53">
        <v>480</v>
      </c>
      <c r="W367" s="53"/>
      <c r="X367" s="53"/>
      <c r="Y367" s="53"/>
      <c r="Z367" s="53"/>
      <c r="AA367" s="53"/>
      <c r="AB367" s="53"/>
      <c r="AC367" s="137" t="s">
        <v>124</v>
      </c>
      <c r="AD367" s="138" t="s">
        <v>118</v>
      </c>
      <c r="AE367" s="83">
        <v>8760</v>
      </c>
      <c r="AF367" s="139">
        <v>1</v>
      </c>
      <c r="AG367" s="139">
        <f t="shared" si="70"/>
        <v>0.82191780821917804</v>
      </c>
      <c r="AH367" s="139">
        <v>0.6</v>
      </c>
      <c r="AI367" s="139">
        <v>0.6</v>
      </c>
      <c r="AJ367" s="83">
        <f t="shared" si="60"/>
        <v>2880</v>
      </c>
      <c r="AK367" s="83">
        <f t="shared" si="61"/>
        <v>4320</v>
      </c>
      <c r="AL367" s="104">
        <f t="shared" si="62"/>
        <v>1.5425617461229177</v>
      </c>
      <c r="AM367" s="104">
        <f t="shared" si="63"/>
        <v>1.5425617461229177</v>
      </c>
      <c r="AN367" s="83">
        <f t="shared" si="64"/>
        <v>4442.5778288340034</v>
      </c>
      <c r="AO367" s="83">
        <f t="shared" si="65"/>
        <v>6663.8667432510047</v>
      </c>
      <c r="AP367" s="182">
        <f t="shared" si="66"/>
        <v>15.158697512877657</v>
      </c>
      <c r="AQ367" s="182">
        <f t="shared" si="67"/>
        <v>22.738046269316484</v>
      </c>
      <c r="AR367" s="85"/>
      <c r="AS367" s="85"/>
      <c r="AT367" s="53"/>
      <c r="AU367" s="53"/>
      <c r="AV367" s="53"/>
      <c r="AW367" s="53"/>
      <c r="AX367" s="53"/>
      <c r="AY367" s="53"/>
      <c r="AZ367" s="53"/>
      <c r="BA367" s="53"/>
      <c r="BB367" s="53"/>
      <c r="BC367" s="111">
        <f t="shared" si="68"/>
        <v>4442.5778288340034</v>
      </c>
      <c r="BD367" s="111">
        <f t="shared" si="69"/>
        <v>6663.8667432510047</v>
      </c>
    </row>
    <row r="368" spans="1:56" ht="15.75" x14ac:dyDescent="0.25">
      <c r="A368" s="53">
        <v>358</v>
      </c>
      <c r="B368" s="53"/>
      <c r="C368" s="53"/>
      <c r="D368" s="53" t="s">
        <v>135</v>
      </c>
      <c r="E368" s="53"/>
      <c r="F368" s="53"/>
      <c r="G368" s="53" t="s">
        <v>290</v>
      </c>
      <c r="H368" s="53" t="s">
        <v>291</v>
      </c>
      <c r="I368" s="85" t="s">
        <v>808</v>
      </c>
      <c r="J368" s="85" t="s">
        <v>809</v>
      </c>
      <c r="K368" s="85" t="s">
        <v>393</v>
      </c>
      <c r="L368" s="53" t="s">
        <v>216</v>
      </c>
      <c r="M368" s="53" t="s">
        <v>295</v>
      </c>
      <c r="N368" s="53"/>
      <c r="O368" s="85" t="s">
        <v>135</v>
      </c>
      <c r="P368" s="53">
        <v>1</v>
      </c>
      <c r="Q368" s="183">
        <v>3</v>
      </c>
      <c r="R368" s="84">
        <v>0.87050000000000005</v>
      </c>
      <c r="S368" s="53">
        <v>4.8</v>
      </c>
      <c r="T368" s="53"/>
      <c r="U368" s="53">
        <v>3</v>
      </c>
      <c r="V368" s="53">
        <v>480</v>
      </c>
      <c r="W368" s="53"/>
      <c r="X368" s="53"/>
      <c r="Y368" s="53"/>
      <c r="Z368" s="53"/>
      <c r="AA368" s="53"/>
      <c r="AB368" s="53"/>
      <c r="AC368" s="137" t="s">
        <v>124</v>
      </c>
      <c r="AD368" s="138" t="s">
        <v>118</v>
      </c>
      <c r="AE368" s="83">
        <v>8760</v>
      </c>
      <c r="AF368" s="139">
        <v>1</v>
      </c>
      <c r="AG368" s="139">
        <f t="shared" si="70"/>
        <v>0.82191780821917804</v>
      </c>
      <c r="AH368" s="139">
        <v>0.6</v>
      </c>
      <c r="AI368" s="139">
        <v>0.6</v>
      </c>
      <c r="AJ368" s="83">
        <f t="shared" si="60"/>
        <v>2880</v>
      </c>
      <c r="AK368" s="83">
        <f t="shared" si="61"/>
        <v>4320</v>
      </c>
      <c r="AL368" s="104">
        <f t="shared" si="62"/>
        <v>1.5425617461229177</v>
      </c>
      <c r="AM368" s="104">
        <f t="shared" si="63"/>
        <v>1.5425617461229177</v>
      </c>
      <c r="AN368" s="83">
        <f t="shared" si="64"/>
        <v>4442.5778288340034</v>
      </c>
      <c r="AO368" s="83">
        <f t="shared" si="65"/>
        <v>6663.8667432510047</v>
      </c>
      <c r="AP368" s="182">
        <f t="shared" si="66"/>
        <v>15.158697512877657</v>
      </c>
      <c r="AQ368" s="182">
        <f t="shared" si="67"/>
        <v>22.738046269316484</v>
      </c>
      <c r="AR368" s="85"/>
      <c r="AS368" s="85"/>
      <c r="AT368" s="53"/>
      <c r="AU368" s="53"/>
      <c r="AV368" s="53"/>
      <c r="AW368" s="53"/>
      <c r="AX368" s="53"/>
      <c r="AY368" s="53"/>
      <c r="AZ368" s="53"/>
      <c r="BA368" s="53"/>
      <c r="BB368" s="53"/>
      <c r="BC368" s="111">
        <f t="shared" si="68"/>
        <v>4442.5778288340034</v>
      </c>
      <c r="BD368" s="111">
        <f t="shared" si="69"/>
        <v>6663.8667432510047</v>
      </c>
    </row>
    <row r="369" spans="1:56" ht="15.75" x14ac:dyDescent="0.25">
      <c r="A369" s="53">
        <v>359</v>
      </c>
      <c r="B369" s="53"/>
      <c r="C369" s="53"/>
      <c r="D369" s="53" t="s">
        <v>135</v>
      </c>
      <c r="E369" s="53"/>
      <c r="F369" s="53"/>
      <c r="G369" s="53" t="s">
        <v>290</v>
      </c>
      <c r="H369" s="53" t="s">
        <v>291</v>
      </c>
      <c r="I369" s="85" t="s">
        <v>808</v>
      </c>
      <c r="J369" s="85" t="s">
        <v>809</v>
      </c>
      <c r="K369" s="85" t="s">
        <v>393</v>
      </c>
      <c r="L369" s="53" t="s">
        <v>216</v>
      </c>
      <c r="M369" s="53" t="s">
        <v>295</v>
      </c>
      <c r="N369" s="53"/>
      <c r="O369" s="85" t="s">
        <v>135</v>
      </c>
      <c r="P369" s="53">
        <v>1</v>
      </c>
      <c r="Q369" s="183">
        <v>3</v>
      </c>
      <c r="R369" s="84">
        <v>0.87050000000000005</v>
      </c>
      <c r="S369" s="53">
        <v>4.8</v>
      </c>
      <c r="T369" s="53"/>
      <c r="U369" s="53">
        <v>3</v>
      </c>
      <c r="V369" s="53">
        <v>480</v>
      </c>
      <c r="W369" s="53"/>
      <c r="X369" s="53"/>
      <c r="Y369" s="53"/>
      <c r="Z369" s="53"/>
      <c r="AA369" s="53"/>
      <c r="AB369" s="53"/>
      <c r="AC369" s="137" t="s">
        <v>124</v>
      </c>
      <c r="AD369" s="138" t="s">
        <v>118</v>
      </c>
      <c r="AE369" s="83">
        <v>8760</v>
      </c>
      <c r="AF369" s="139">
        <v>1</v>
      </c>
      <c r="AG369" s="139">
        <f t="shared" si="70"/>
        <v>0.82191780821917804</v>
      </c>
      <c r="AH369" s="139">
        <v>0.6</v>
      </c>
      <c r="AI369" s="139">
        <v>0.6</v>
      </c>
      <c r="AJ369" s="83">
        <f t="shared" si="60"/>
        <v>2880</v>
      </c>
      <c r="AK369" s="83">
        <f t="shared" si="61"/>
        <v>4320</v>
      </c>
      <c r="AL369" s="104">
        <f t="shared" si="62"/>
        <v>1.5425617461229177</v>
      </c>
      <c r="AM369" s="104">
        <f t="shared" si="63"/>
        <v>1.5425617461229177</v>
      </c>
      <c r="AN369" s="83">
        <f t="shared" si="64"/>
        <v>4442.5778288340034</v>
      </c>
      <c r="AO369" s="83">
        <f t="shared" si="65"/>
        <v>6663.8667432510047</v>
      </c>
      <c r="AP369" s="182">
        <f t="shared" si="66"/>
        <v>15.158697512877657</v>
      </c>
      <c r="AQ369" s="182">
        <f t="shared" si="67"/>
        <v>22.738046269316484</v>
      </c>
      <c r="AR369" s="85"/>
      <c r="AS369" s="85"/>
      <c r="AT369" s="53"/>
      <c r="AU369" s="53"/>
      <c r="AV369" s="53"/>
      <c r="AW369" s="53"/>
      <c r="AX369" s="53"/>
      <c r="AY369" s="53"/>
      <c r="AZ369" s="53"/>
      <c r="BA369" s="53"/>
      <c r="BB369" s="53"/>
      <c r="BC369" s="111">
        <f t="shared" si="68"/>
        <v>4442.5778288340034</v>
      </c>
      <c r="BD369" s="111">
        <f t="shared" si="69"/>
        <v>6663.8667432510047</v>
      </c>
    </row>
    <row r="370" spans="1:56" ht="15.75" x14ac:dyDescent="0.25">
      <c r="A370" s="53">
        <v>360</v>
      </c>
      <c r="B370" s="53"/>
      <c r="C370" s="53"/>
      <c r="D370" s="53" t="s">
        <v>135</v>
      </c>
      <c r="E370" s="53"/>
      <c r="F370" s="53"/>
      <c r="G370" s="53" t="s">
        <v>211</v>
      </c>
      <c r="H370" s="53" t="s">
        <v>220</v>
      </c>
      <c r="I370" s="85" t="s">
        <v>268</v>
      </c>
      <c r="J370" s="85" t="s">
        <v>269</v>
      </c>
      <c r="K370" s="85" t="s">
        <v>270</v>
      </c>
      <c r="L370" s="53" t="s">
        <v>216</v>
      </c>
      <c r="M370" s="53" t="s">
        <v>224</v>
      </c>
      <c r="N370" s="53"/>
      <c r="O370" s="85" t="s">
        <v>135</v>
      </c>
      <c r="P370" s="53">
        <v>1</v>
      </c>
      <c r="Q370" s="185">
        <v>100</v>
      </c>
      <c r="R370" s="178">
        <v>0.94499999999999995</v>
      </c>
      <c r="S370" s="53">
        <v>65</v>
      </c>
      <c r="T370" s="53"/>
      <c r="U370" s="53">
        <v>3</v>
      </c>
      <c r="V370" s="53">
        <v>480</v>
      </c>
      <c r="W370" s="53"/>
      <c r="X370" s="53"/>
      <c r="Y370" s="53"/>
      <c r="Z370" s="53"/>
      <c r="AA370" s="53"/>
      <c r="AB370" s="53"/>
      <c r="AC370" s="137" t="s">
        <v>110</v>
      </c>
      <c r="AD370" s="138" t="s">
        <v>111</v>
      </c>
      <c r="AE370" s="83">
        <v>8760</v>
      </c>
      <c r="AF370" s="139">
        <v>1</v>
      </c>
      <c r="AG370" s="179">
        <v>1</v>
      </c>
      <c r="AH370" s="179">
        <v>0.4</v>
      </c>
      <c r="AI370" s="179">
        <v>0.95</v>
      </c>
      <c r="AJ370" s="83">
        <f t="shared" si="60"/>
        <v>3504</v>
      </c>
      <c r="AK370" s="83">
        <f t="shared" si="61"/>
        <v>5256</v>
      </c>
      <c r="AL370" s="104">
        <f t="shared" si="62"/>
        <v>31.576719576719576</v>
      </c>
      <c r="AM370" s="104">
        <f t="shared" si="63"/>
        <v>74.994708994708986</v>
      </c>
      <c r="AN370" s="83">
        <f t="shared" si="64"/>
        <v>110644.8253968254</v>
      </c>
      <c r="AO370" s="83">
        <f t="shared" si="65"/>
        <v>394172.19047619042</v>
      </c>
      <c r="AP370" s="182">
        <f t="shared" si="66"/>
        <v>377.5356345295238</v>
      </c>
      <c r="AQ370" s="182">
        <f t="shared" si="67"/>
        <v>1344.9706980114283</v>
      </c>
      <c r="AR370" s="85"/>
      <c r="AS370" s="85"/>
      <c r="AT370" s="53"/>
      <c r="AU370" s="53"/>
      <c r="AV370" s="53"/>
      <c r="AW370" s="53"/>
      <c r="AX370" s="53"/>
      <c r="AY370" s="53"/>
      <c r="AZ370" s="53"/>
      <c r="BA370" s="53"/>
      <c r="BB370" s="53"/>
      <c r="BC370" s="111">
        <f t="shared" si="68"/>
        <v>110644.8253968254</v>
      </c>
      <c r="BD370" s="111">
        <f t="shared" si="69"/>
        <v>394172.19047619042</v>
      </c>
    </row>
    <row r="371" spans="1:56" ht="15.75" x14ac:dyDescent="0.25">
      <c r="A371" s="53">
        <v>361</v>
      </c>
      <c r="B371" s="53"/>
      <c r="C371" s="53"/>
      <c r="D371" s="53" t="s">
        <v>135</v>
      </c>
      <c r="E371" s="53"/>
      <c r="F371" s="53"/>
      <c r="G371" s="53" t="s">
        <v>290</v>
      </c>
      <c r="H371" s="53" t="s">
        <v>291</v>
      </c>
      <c r="I371" s="85" t="s">
        <v>268</v>
      </c>
      <c r="J371" s="85" t="s">
        <v>490</v>
      </c>
      <c r="K371" s="85" t="s">
        <v>270</v>
      </c>
      <c r="L371" s="53" t="s">
        <v>216</v>
      </c>
      <c r="M371" s="53" t="s">
        <v>295</v>
      </c>
      <c r="N371" s="53"/>
      <c r="O371" s="85" t="s">
        <v>135</v>
      </c>
      <c r="P371" s="53">
        <v>1</v>
      </c>
      <c r="Q371" s="183">
        <v>10</v>
      </c>
      <c r="R371" s="84">
        <v>0.87050000000000005</v>
      </c>
      <c r="S371" s="53">
        <v>14</v>
      </c>
      <c r="T371" s="53"/>
      <c r="U371" s="53">
        <v>3</v>
      </c>
      <c r="V371" s="53">
        <v>480</v>
      </c>
      <c r="W371" s="53"/>
      <c r="X371" s="53"/>
      <c r="Y371" s="53"/>
      <c r="Z371" s="53"/>
      <c r="AA371" s="53"/>
      <c r="AB371" s="53"/>
      <c r="AC371" s="137" t="s">
        <v>110</v>
      </c>
      <c r="AD371" s="138" t="s">
        <v>118</v>
      </c>
      <c r="AE371" s="83">
        <v>8760</v>
      </c>
      <c r="AF371" s="139">
        <v>1</v>
      </c>
      <c r="AG371" s="179">
        <v>1</v>
      </c>
      <c r="AH371" s="139">
        <v>0.6</v>
      </c>
      <c r="AI371" s="139">
        <v>0.6</v>
      </c>
      <c r="AJ371" s="83">
        <f t="shared" si="60"/>
        <v>3504</v>
      </c>
      <c r="AK371" s="83">
        <f t="shared" si="61"/>
        <v>5256</v>
      </c>
      <c r="AL371" s="104">
        <f t="shared" si="62"/>
        <v>5.1418724870763919</v>
      </c>
      <c r="AM371" s="104">
        <f t="shared" si="63"/>
        <v>5.1418724870763919</v>
      </c>
      <c r="AN371" s="83">
        <f t="shared" si="64"/>
        <v>18017.121194715677</v>
      </c>
      <c r="AO371" s="83">
        <f t="shared" si="65"/>
        <v>27025.681792073516</v>
      </c>
      <c r="AP371" s="182">
        <f t="shared" si="66"/>
        <v>61.476939913337148</v>
      </c>
      <c r="AQ371" s="182">
        <f t="shared" si="67"/>
        <v>92.215409870005729</v>
      </c>
      <c r="AR371" s="85"/>
      <c r="AS371" s="85"/>
      <c r="AT371" s="53"/>
      <c r="AU371" s="53"/>
      <c r="AV371" s="53"/>
      <c r="AW371" s="53"/>
      <c r="AX371" s="53"/>
      <c r="AY371" s="53"/>
      <c r="AZ371" s="53"/>
      <c r="BA371" s="53"/>
      <c r="BB371" s="53"/>
      <c r="BC371" s="111">
        <f t="shared" si="68"/>
        <v>18017.121194715677</v>
      </c>
      <c r="BD371" s="111">
        <f t="shared" si="69"/>
        <v>27025.681792073516</v>
      </c>
    </row>
    <row r="372" spans="1:56" ht="15.75" x14ac:dyDescent="0.25">
      <c r="A372" s="53">
        <v>362</v>
      </c>
      <c r="B372" s="53"/>
      <c r="C372" s="53"/>
      <c r="D372" s="53" t="s">
        <v>135</v>
      </c>
      <c r="E372" s="53"/>
      <c r="F372" s="53"/>
      <c r="G372" s="53" t="s">
        <v>290</v>
      </c>
      <c r="H372" s="53" t="s">
        <v>291</v>
      </c>
      <c r="I372" s="85" t="s">
        <v>268</v>
      </c>
      <c r="J372" s="85" t="s">
        <v>491</v>
      </c>
      <c r="K372" s="85" t="s">
        <v>270</v>
      </c>
      <c r="L372" s="53" t="s">
        <v>216</v>
      </c>
      <c r="M372" s="53" t="s">
        <v>295</v>
      </c>
      <c r="N372" s="53"/>
      <c r="O372" s="85" t="s">
        <v>135</v>
      </c>
      <c r="P372" s="53">
        <v>1</v>
      </c>
      <c r="Q372" s="183">
        <v>10</v>
      </c>
      <c r="R372" s="84">
        <v>0.87050000000000005</v>
      </c>
      <c r="S372" s="53">
        <v>14</v>
      </c>
      <c r="T372" s="53"/>
      <c r="U372" s="53">
        <v>3</v>
      </c>
      <c r="V372" s="53">
        <v>480</v>
      </c>
      <c r="W372" s="53"/>
      <c r="X372" s="53"/>
      <c r="Y372" s="53"/>
      <c r="Z372" s="53"/>
      <c r="AA372" s="53"/>
      <c r="AB372" s="53"/>
      <c r="AC372" s="137" t="s">
        <v>110</v>
      </c>
      <c r="AD372" s="138" t="s">
        <v>118</v>
      </c>
      <c r="AE372" s="83">
        <v>8760</v>
      </c>
      <c r="AF372" s="139">
        <v>1</v>
      </c>
      <c r="AG372" s="179">
        <v>1</v>
      </c>
      <c r="AH372" s="139">
        <v>0.6</v>
      </c>
      <c r="AI372" s="139">
        <v>0.6</v>
      </c>
      <c r="AJ372" s="83">
        <f t="shared" si="60"/>
        <v>3504</v>
      </c>
      <c r="AK372" s="83">
        <f t="shared" si="61"/>
        <v>5256</v>
      </c>
      <c r="AL372" s="104">
        <f t="shared" si="62"/>
        <v>5.1418724870763919</v>
      </c>
      <c r="AM372" s="104">
        <f t="shared" si="63"/>
        <v>5.1418724870763919</v>
      </c>
      <c r="AN372" s="83">
        <f t="shared" si="64"/>
        <v>18017.121194715677</v>
      </c>
      <c r="AO372" s="83">
        <f t="shared" si="65"/>
        <v>27025.681792073516</v>
      </c>
      <c r="AP372" s="182">
        <f t="shared" si="66"/>
        <v>61.476939913337148</v>
      </c>
      <c r="AQ372" s="182">
        <f t="shared" si="67"/>
        <v>92.215409870005729</v>
      </c>
      <c r="AR372" s="85"/>
      <c r="AS372" s="85"/>
      <c r="AT372" s="53"/>
      <c r="AU372" s="53"/>
      <c r="AV372" s="53"/>
      <c r="AW372" s="53"/>
      <c r="AX372" s="53"/>
      <c r="AY372" s="53"/>
      <c r="AZ372" s="53"/>
      <c r="BA372" s="53"/>
      <c r="BB372" s="53"/>
      <c r="BC372" s="111">
        <f t="shared" si="68"/>
        <v>18017.121194715677</v>
      </c>
      <c r="BD372" s="111">
        <f t="shared" si="69"/>
        <v>27025.681792073516</v>
      </c>
    </row>
    <row r="373" spans="1:56" ht="15.75" x14ac:dyDescent="0.25">
      <c r="A373" s="53">
        <v>363</v>
      </c>
      <c r="B373" s="53"/>
      <c r="C373" s="53"/>
      <c r="D373" s="53" t="s">
        <v>135</v>
      </c>
      <c r="E373" s="53"/>
      <c r="F373" s="53"/>
      <c r="G373" s="53" t="s">
        <v>211</v>
      </c>
      <c r="H373" s="53" t="s">
        <v>220</v>
      </c>
      <c r="I373" s="85"/>
      <c r="J373" s="85" t="s">
        <v>233</v>
      </c>
      <c r="K373" s="85" t="s">
        <v>234</v>
      </c>
      <c r="L373" s="53" t="s">
        <v>216</v>
      </c>
      <c r="M373" s="53" t="s">
        <v>224</v>
      </c>
      <c r="N373" s="53"/>
      <c r="O373" s="85" t="s">
        <v>225</v>
      </c>
      <c r="P373" s="53">
        <v>16</v>
      </c>
      <c r="Q373" s="183">
        <v>25</v>
      </c>
      <c r="R373" s="84">
        <v>0.92</v>
      </c>
      <c r="S373" s="53"/>
      <c r="T373" s="53"/>
      <c r="U373" s="53">
        <v>3</v>
      </c>
      <c r="V373" s="53">
        <v>480</v>
      </c>
      <c r="W373" s="53"/>
      <c r="X373" s="53"/>
      <c r="Y373" s="53"/>
      <c r="Z373" s="53"/>
      <c r="AA373" s="53"/>
      <c r="AB373" s="53"/>
      <c r="AC373" s="137" t="s">
        <v>110</v>
      </c>
      <c r="AD373" s="138" t="s">
        <v>111</v>
      </c>
      <c r="AE373" s="83">
        <v>8760</v>
      </c>
      <c r="AF373" s="139">
        <v>1</v>
      </c>
      <c r="AG373" s="179">
        <v>1</v>
      </c>
      <c r="AH373" s="179">
        <v>0.1</v>
      </c>
      <c r="AI373" s="179">
        <v>0.5</v>
      </c>
      <c r="AJ373" s="83">
        <f t="shared" si="60"/>
        <v>3504</v>
      </c>
      <c r="AK373" s="83">
        <f t="shared" si="61"/>
        <v>5256</v>
      </c>
      <c r="AL373" s="104">
        <f t="shared" si="62"/>
        <v>32.434782608695649</v>
      </c>
      <c r="AM373" s="104">
        <f t="shared" si="63"/>
        <v>162.17391304347825</v>
      </c>
      <c r="AN373" s="83">
        <f t="shared" si="64"/>
        <v>113651.47826086955</v>
      </c>
      <c r="AO373" s="83">
        <f t="shared" si="65"/>
        <v>852386.08695652173</v>
      </c>
      <c r="AP373" s="182">
        <f t="shared" si="66"/>
        <v>387.79475503304343</v>
      </c>
      <c r="AQ373" s="182">
        <f t="shared" si="67"/>
        <v>2908.4606627478261</v>
      </c>
      <c r="AR373" s="85"/>
      <c r="AS373" s="85">
        <v>60</v>
      </c>
      <c r="AT373" s="53"/>
      <c r="AU373" s="53"/>
      <c r="AV373" s="53"/>
      <c r="AW373" s="53"/>
      <c r="AX373" s="53"/>
      <c r="AY373" s="53"/>
      <c r="AZ373" s="53"/>
      <c r="BA373" s="53"/>
      <c r="BB373" s="53"/>
      <c r="BC373" s="111">
        <f t="shared" si="68"/>
        <v>113651.47826086955</v>
      </c>
      <c r="BD373" s="111">
        <f t="shared" si="69"/>
        <v>852386.08695652173</v>
      </c>
    </row>
    <row r="374" spans="1:56" ht="15.75" x14ac:dyDescent="0.25">
      <c r="A374" s="53">
        <v>364</v>
      </c>
      <c r="B374" s="53"/>
      <c r="C374" s="53"/>
      <c r="D374" s="53" t="s">
        <v>135</v>
      </c>
      <c r="E374" s="53"/>
      <c r="F374" s="53"/>
      <c r="G374" s="53" t="s">
        <v>211</v>
      </c>
      <c r="H374" s="53" t="s">
        <v>220</v>
      </c>
      <c r="I374" s="85"/>
      <c r="J374" s="85" t="s">
        <v>233</v>
      </c>
      <c r="K374" s="85" t="s">
        <v>563</v>
      </c>
      <c r="L374" s="53" t="s">
        <v>216</v>
      </c>
      <c r="M374" s="53" t="s">
        <v>224</v>
      </c>
      <c r="N374" s="53"/>
      <c r="O374" s="85" t="s">
        <v>564</v>
      </c>
      <c r="P374" s="53">
        <v>1</v>
      </c>
      <c r="Q374" s="183">
        <v>5</v>
      </c>
      <c r="R374" s="84">
        <v>0.92</v>
      </c>
      <c r="S374" s="53"/>
      <c r="T374" s="53"/>
      <c r="U374" s="53">
        <v>3</v>
      </c>
      <c r="V374" s="53">
        <v>480</v>
      </c>
      <c r="W374" s="53"/>
      <c r="X374" s="53"/>
      <c r="Y374" s="53"/>
      <c r="Z374" s="53"/>
      <c r="AA374" s="53"/>
      <c r="AB374" s="53"/>
      <c r="AC374" s="137" t="s">
        <v>110</v>
      </c>
      <c r="AD374" s="138" t="s">
        <v>111</v>
      </c>
      <c r="AE374" s="83">
        <v>8760</v>
      </c>
      <c r="AF374" s="139">
        <v>1</v>
      </c>
      <c r="AG374" s="179">
        <v>1</v>
      </c>
      <c r="AH374" s="179">
        <v>0.33</v>
      </c>
      <c r="AI374" s="179">
        <v>1</v>
      </c>
      <c r="AJ374" s="83">
        <f t="shared" si="60"/>
        <v>3504</v>
      </c>
      <c r="AK374" s="83">
        <f t="shared" si="61"/>
        <v>5256</v>
      </c>
      <c r="AL374" s="104">
        <f t="shared" si="62"/>
        <v>1.3379347826086956</v>
      </c>
      <c r="AM374" s="104">
        <f t="shared" si="63"/>
        <v>4.0543478260869561</v>
      </c>
      <c r="AN374" s="83">
        <f t="shared" si="64"/>
        <v>4688.123478260869</v>
      </c>
      <c r="AO374" s="83">
        <f t="shared" si="65"/>
        <v>21309.65217391304</v>
      </c>
      <c r="AP374" s="182">
        <f t="shared" si="66"/>
        <v>15.996533645113042</v>
      </c>
      <c r="AQ374" s="182">
        <f t="shared" si="67"/>
        <v>72.711516568695629</v>
      </c>
      <c r="AR374" s="85"/>
      <c r="AS374" s="85">
        <v>10</v>
      </c>
      <c r="AT374" s="53"/>
      <c r="AU374" s="53"/>
      <c r="AV374" s="53"/>
      <c r="AW374" s="53"/>
      <c r="AX374" s="53"/>
      <c r="AY374" s="53"/>
      <c r="AZ374" s="53"/>
      <c r="BA374" s="53"/>
      <c r="BB374" s="53"/>
      <c r="BC374" s="111">
        <f t="shared" si="68"/>
        <v>4688.123478260869</v>
      </c>
      <c r="BD374" s="111">
        <f t="shared" si="69"/>
        <v>21309.65217391304</v>
      </c>
    </row>
    <row r="375" spans="1:56" ht="15.75" x14ac:dyDescent="0.25">
      <c r="A375" s="53">
        <v>365</v>
      </c>
      <c r="B375" s="53"/>
      <c r="C375" s="53"/>
      <c r="D375" s="53" t="s">
        <v>135</v>
      </c>
      <c r="E375" s="83"/>
      <c r="F375" s="53"/>
      <c r="G375" s="53" t="s">
        <v>211</v>
      </c>
      <c r="H375" s="53" t="s">
        <v>220</v>
      </c>
      <c r="I375" s="85" t="s">
        <v>221</v>
      </c>
      <c r="J375" s="85" t="s">
        <v>222</v>
      </c>
      <c r="K375" s="85" t="s">
        <v>223</v>
      </c>
      <c r="L375" s="53" t="s">
        <v>216</v>
      </c>
      <c r="M375" s="53" t="s">
        <v>224</v>
      </c>
      <c r="N375" s="53"/>
      <c r="O375" s="85" t="s">
        <v>225</v>
      </c>
      <c r="P375" s="53">
        <v>22</v>
      </c>
      <c r="Q375" s="183">
        <v>25</v>
      </c>
      <c r="R375" s="84">
        <v>0.92</v>
      </c>
      <c r="S375" s="53"/>
      <c r="T375" s="53"/>
      <c r="U375" s="53">
        <v>3</v>
      </c>
      <c r="V375" s="53">
        <v>480</v>
      </c>
      <c r="W375" s="53"/>
      <c r="X375" s="53"/>
      <c r="Y375" s="53"/>
      <c r="Z375" s="53"/>
      <c r="AA375" s="53"/>
      <c r="AB375" s="53"/>
      <c r="AC375" s="137" t="s">
        <v>110</v>
      </c>
      <c r="AD375" s="138" t="s">
        <v>111</v>
      </c>
      <c r="AE375" s="83">
        <v>8760</v>
      </c>
      <c r="AF375" s="139">
        <v>1</v>
      </c>
      <c r="AG375" s="179">
        <v>1</v>
      </c>
      <c r="AH375" s="179">
        <v>0.1</v>
      </c>
      <c r="AI375" s="179">
        <v>0.5</v>
      </c>
      <c r="AJ375" s="83">
        <f t="shared" si="60"/>
        <v>3504</v>
      </c>
      <c r="AK375" s="83">
        <f t="shared" si="61"/>
        <v>5256</v>
      </c>
      <c r="AL375" s="104">
        <f t="shared" si="62"/>
        <v>44.597826086956523</v>
      </c>
      <c r="AM375" s="104">
        <f t="shared" si="63"/>
        <v>222.9891304347826</v>
      </c>
      <c r="AN375" s="83">
        <f t="shared" si="64"/>
        <v>156270.78260869565</v>
      </c>
      <c r="AO375" s="83">
        <f t="shared" si="65"/>
        <v>1172030.8695652173</v>
      </c>
      <c r="AP375" s="182">
        <f t="shared" si="66"/>
        <v>533.2177881704348</v>
      </c>
      <c r="AQ375" s="182">
        <f t="shared" si="67"/>
        <v>3999.1334112782602</v>
      </c>
      <c r="AR375" s="85"/>
      <c r="AS375" s="85">
        <v>60</v>
      </c>
      <c r="AT375" s="53"/>
      <c r="AU375" s="53"/>
      <c r="AV375" s="53"/>
      <c r="AW375" s="53"/>
      <c r="AX375" s="53"/>
      <c r="AY375" s="53"/>
      <c r="AZ375" s="53"/>
      <c r="BA375" s="53"/>
      <c r="BB375" s="53"/>
      <c r="BC375" s="111">
        <f t="shared" si="68"/>
        <v>156270.78260869565</v>
      </c>
      <c r="BD375" s="111">
        <f t="shared" si="69"/>
        <v>1172030.8695652173</v>
      </c>
    </row>
    <row r="376" spans="1:56" ht="15.75" x14ac:dyDescent="0.25">
      <c r="A376" s="53">
        <v>366</v>
      </c>
      <c r="B376" s="53"/>
      <c r="C376" s="53"/>
      <c r="D376" s="53" t="s">
        <v>135</v>
      </c>
      <c r="E376" s="53"/>
      <c r="F376" s="53"/>
      <c r="G376" s="53" t="s">
        <v>211</v>
      </c>
      <c r="H376" s="53" t="s">
        <v>220</v>
      </c>
      <c r="I376" s="85"/>
      <c r="J376" s="85" t="s">
        <v>379</v>
      </c>
      <c r="K376" s="85" t="s">
        <v>380</v>
      </c>
      <c r="L376" s="53" t="s">
        <v>216</v>
      </c>
      <c r="M376" s="53" t="s">
        <v>224</v>
      </c>
      <c r="N376" s="53"/>
      <c r="O376" s="85" t="s">
        <v>381</v>
      </c>
      <c r="P376" s="53">
        <v>1</v>
      </c>
      <c r="Q376" s="183">
        <v>15</v>
      </c>
      <c r="R376" s="84">
        <v>0.92</v>
      </c>
      <c r="S376" s="53"/>
      <c r="T376" s="53"/>
      <c r="U376" s="53">
        <v>3</v>
      </c>
      <c r="V376" s="53">
        <v>480</v>
      </c>
      <c r="W376" s="53"/>
      <c r="X376" s="53"/>
      <c r="Y376" s="53"/>
      <c r="Z376" s="53"/>
      <c r="AA376" s="53"/>
      <c r="AB376" s="53"/>
      <c r="AC376" s="137" t="s">
        <v>110</v>
      </c>
      <c r="AD376" s="138" t="s">
        <v>111</v>
      </c>
      <c r="AE376" s="83">
        <v>8760</v>
      </c>
      <c r="AF376" s="139">
        <v>1</v>
      </c>
      <c r="AG376" s="179">
        <v>1</v>
      </c>
      <c r="AH376" s="179">
        <v>0.25</v>
      </c>
      <c r="AI376" s="179">
        <v>1</v>
      </c>
      <c r="AJ376" s="83">
        <f t="shared" si="60"/>
        <v>3504</v>
      </c>
      <c r="AK376" s="83">
        <f t="shared" si="61"/>
        <v>5256</v>
      </c>
      <c r="AL376" s="104">
        <f t="shared" si="62"/>
        <v>3.0407608695652173</v>
      </c>
      <c r="AM376" s="104">
        <f t="shared" si="63"/>
        <v>12.163043478260869</v>
      </c>
      <c r="AN376" s="83">
        <f t="shared" si="64"/>
        <v>10654.826086956522</v>
      </c>
      <c r="AO376" s="83">
        <f t="shared" si="65"/>
        <v>63928.956521739128</v>
      </c>
      <c r="AP376" s="182">
        <f t="shared" si="66"/>
        <v>36.355758284347822</v>
      </c>
      <c r="AQ376" s="182">
        <f t="shared" si="67"/>
        <v>218.13454970608694</v>
      </c>
      <c r="AR376" s="85"/>
      <c r="AS376" s="85">
        <v>31</v>
      </c>
      <c r="AT376" s="53"/>
      <c r="AU376" s="53"/>
      <c r="AV376" s="53"/>
      <c r="AW376" s="53"/>
      <c r="AX376" s="53"/>
      <c r="AY376" s="53"/>
      <c r="AZ376" s="53"/>
      <c r="BA376" s="53"/>
      <c r="BB376" s="53"/>
      <c r="BC376" s="111">
        <f t="shared" si="68"/>
        <v>10654.826086956522</v>
      </c>
      <c r="BD376" s="111">
        <f t="shared" si="69"/>
        <v>63928.956521739128</v>
      </c>
    </row>
    <row r="377" spans="1:56" ht="15.75" x14ac:dyDescent="0.25">
      <c r="A377" s="53">
        <v>367</v>
      </c>
      <c r="B377" s="53"/>
      <c r="C377" s="53"/>
      <c r="D377" s="53" t="s">
        <v>135</v>
      </c>
      <c r="E377" s="53"/>
      <c r="F377" s="53"/>
      <c r="G377" s="53" t="s">
        <v>211</v>
      </c>
      <c r="H377" s="53" t="s">
        <v>220</v>
      </c>
      <c r="I377" s="85"/>
      <c r="J377" s="85" t="s">
        <v>382</v>
      </c>
      <c r="K377" s="85" t="s">
        <v>383</v>
      </c>
      <c r="L377" s="53" t="s">
        <v>216</v>
      </c>
      <c r="M377" s="53" t="s">
        <v>224</v>
      </c>
      <c r="N377" s="53"/>
      <c r="O377" s="85" t="s">
        <v>381</v>
      </c>
      <c r="P377" s="53">
        <v>1</v>
      </c>
      <c r="Q377" s="183">
        <v>15</v>
      </c>
      <c r="R377" s="84">
        <v>0.92</v>
      </c>
      <c r="S377" s="53"/>
      <c r="T377" s="53"/>
      <c r="U377" s="53">
        <v>3</v>
      </c>
      <c r="V377" s="53">
        <v>480</v>
      </c>
      <c r="W377" s="53"/>
      <c r="X377" s="53"/>
      <c r="Y377" s="53"/>
      <c r="Z377" s="53"/>
      <c r="AA377" s="53"/>
      <c r="AB377" s="53"/>
      <c r="AC377" s="137" t="s">
        <v>110</v>
      </c>
      <c r="AD377" s="138" t="s">
        <v>111</v>
      </c>
      <c r="AE377" s="83">
        <v>8760</v>
      </c>
      <c r="AF377" s="139">
        <v>1</v>
      </c>
      <c r="AG377" s="179">
        <v>1</v>
      </c>
      <c r="AH377" s="179">
        <v>0.25</v>
      </c>
      <c r="AI377" s="179">
        <v>1</v>
      </c>
      <c r="AJ377" s="83">
        <f t="shared" si="60"/>
        <v>3504</v>
      </c>
      <c r="AK377" s="83">
        <f t="shared" si="61"/>
        <v>5256</v>
      </c>
      <c r="AL377" s="104">
        <f t="shared" si="62"/>
        <v>3.0407608695652173</v>
      </c>
      <c r="AM377" s="104">
        <f t="shared" si="63"/>
        <v>12.163043478260869</v>
      </c>
      <c r="AN377" s="83">
        <f t="shared" si="64"/>
        <v>10654.826086956522</v>
      </c>
      <c r="AO377" s="83">
        <f t="shared" si="65"/>
        <v>63928.956521739128</v>
      </c>
      <c r="AP377" s="182">
        <f t="shared" si="66"/>
        <v>36.355758284347822</v>
      </c>
      <c r="AQ377" s="182">
        <f t="shared" si="67"/>
        <v>218.13454970608694</v>
      </c>
      <c r="AR377" s="85"/>
      <c r="AS377" s="85">
        <v>38</v>
      </c>
      <c r="AT377" s="53"/>
      <c r="AU377" s="53"/>
      <c r="AV377" s="53"/>
      <c r="AW377" s="53"/>
      <c r="AX377" s="53"/>
      <c r="AY377" s="53"/>
      <c r="AZ377" s="53"/>
      <c r="BA377" s="53"/>
      <c r="BB377" s="53"/>
      <c r="BC377" s="111">
        <f t="shared" si="68"/>
        <v>10654.826086956522</v>
      </c>
      <c r="BD377" s="111">
        <f t="shared" si="69"/>
        <v>63928.956521739128</v>
      </c>
    </row>
    <row r="378" spans="1:56" ht="15.75" x14ac:dyDescent="0.25">
      <c r="A378" s="53">
        <v>368</v>
      </c>
      <c r="B378" s="53"/>
      <c r="C378" s="53"/>
      <c r="D378" s="53" t="s">
        <v>135</v>
      </c>
      <c r="E378" s="53"/>
      <c r="F378" s="53"/>
      <c r="G378" s="53" t="s">
        <v>211</v>
      </c>
      <c r="H378" s="53" t="s">
        <v>220</v>
      </c>
      <c r="I378" s="85"/>
      <c r="J378" s="85" t="s">
        <v>565</v>
      </c>
      <c r="K378" s="85" t="s">
        <v>566</v>
      </c>
      <c r="L378" s="53" t="s">
        <v>216</v>
      </c>
      <c r="M378" s="53" t="s">
        <v>224</v>
      </c>
      <c r="N378" s="53"/>
      <c r="O378" s="85" t="s">
        <v>567</v>
      </c>
      <c r="P378" s="53">
        <v>1</v>
      </c>
      <c r="Q378" s="183">
        <v>5</v>
      </c>
      <c r="R378" s="84">
        <v>0.92</v>
      </c>
      <c r="S378" s="53"/>
      <c r="T378" s="53"/>
      <c r="U378" s="53">
        <v>3</v>
      </c>
      <c r="V378" s="53">
        <v>480</v>
      </c>
      <c r="W378" s="53"/>
      <c r="X378" s="53"/>
      <c r="Y378" s="53"/>
      <c r="Z378" s="53"/>
      <c r="AA378" s="53"/>
      <c r="AB378" s="53"/>
      <c r="AC378" s="137" t="s">
        <v>110</v>
      </c>
      <c r="AD378" s="138" t="s">
        <v>111</v>
      </c>
      <c r="AE378" s="83">
        <v>8760</v>
      </c>
      <c r="AF378" s="139">
        <v>1</v>
      </c>
      <c r="AG378" s="179">
        <v>1</v>
      </c>
      <c r="AH378" s="179">
        <v>0.33</v>
      </c>
      <c r="AI378" s="179">
        <v>1</v>
      </c>
      <c r="AJ378" s="83">
        <f t="shared" si="60"/>
        <v>3504</v>
      </c>
      <c r="AK378" s="83">
        <f t="shared" si="61"/>
        <v>5256</v>
      </c>
      <c r="AL378" s="104">
        <f t="shared" si="62"/>
        <v>1.3379347826086956</v>
      </c>
      <c r="AM378" s="104">
        <f t="shared" si="63"/>
        <v>4.0543478260869561</v>
      </c>
      <c r="AN378" s="83">
        <f t="shared" si="64"/>
        <v>4688.123478260869</v>
      </c>
      <c r="AO378" s="83">
        <f t="shared" si="65"/>
        <v>21309.65217391304</v>
      </c>
      <c r="AP378" s="182">
        <f t="shared" si="66"/>
        <v>15.996533645113042</v>
      </c>
      <c r="AQ378" s="182">
        <f t="shared" si="67"/>
        <v>72.711516568695629</v>
      </c>
      <c r="AR378" s="85"/>
      <c r="AS378" s="85">
        <v>22</v>
      </c>
      <c r="AT378" s="53"/>
      <c r="AU378" s="53"/>
      <c r="AV378" s="53"/>
      <c r="AW378" s="53"/>
      <c r="AX378" s="53"/>
      <c r="AY378" s="53"/>
      <c r="AZ378" s="53"/>
      <c r="BA378" s="53"/>
      <c r="BB378" s="53"/>
      <c r="BC378" s="111">
        <f t="shared" si="68"/>
        <v>4688.123478260869</v>
      </c>
      <c r="BD378" s="111">
        <f t="shared" si="69"/>
        <v>21309.65217391304</v>
      </c>
    </row>
    <row r="379" spans="1:56" ht="15.75" x14ac:dyDescent="0.25">
      <c r="A379" s="53">
        <v>369</v>
      </c>
      <c r="B379" s="53"/>
      <c r="C379" s="53"/>
      <c r="D379" s="53" t="s">
        <v>135</v>
      </c>
      <c r="E379" s="53"/>
      <c r="F379" s="53"/>
      <c r="G379" s="53" t="s">
        <v>211</v>
      </c>
      <c r="H379" s="53" t="s">
        <v>220</v>
      </c>
      <c r="I379" s="85"/>
      <c r="J379" s="85" t="s">
        <v>471</v>
      </c>
      <c r="K379" s="85" t="s">
        <v>472</v>
      </c>
      <c r="L379" s="53" t="s">
        <v>216</v>
      </c>
      <c r="M379" s="53" t="s">
        <v>224</v>
      </c>
      <c r="N379" s="53"/>
      <c r="O379" s="85" t="s">
        <v>381</v>
      </c>
      <c r="P379" s="53">
        <v>1</v>
      </c>
      <c r="Q379" s="183">
        <v>10</v>
      </c>
      <c r="R379" s="84">
        <v>0.92</v>
      </c>
      <c r="S379" s="53"/>
      <c r="T379" s="53"/>
      <c r="U379" s="53">
        <v>3</v>
      </c>
      <c r="V379" s="53">
        <v>480</v>
      </c>
      <c r="W379" s="53"/>
      <c r="X379" s="53"/>
      <c r="Y379" s="53"/>
      <c r="Z379" s="53"/>
      <c r="AA379" s="53"/>
      <c r="AB379" s="53"/>
      <c r="AC379" s="137" t="s">
        <v>110</v>
      </c>
      <c r="AD379" s="138" t="s">
        <v>111</v>
      </c>
      <c r="AE379" s="83">
        <v>8760</v>
      </c>
      <c r="AF379" s="139">
        <v>1</v>
      </c>
      <c r="AG379" s="179">
        <v>1</v>
      </c>
      <c r="AH379" s="179">
        <v>0.33</v>
      </c>
      <c r="AI379" s="179">
        <v>1</v>
      </c>
      <c r="AJ379" s="83">
        <f t="shared" si="60"/>
        <v>3504</v>
      </c>
      <c r="AK379" s="83">
        <f t="shared" si="61"/>
        <v>5256</v>
      </c>
      <c r="AL379" s="104">
        <f t="shared" si="62"/>
        <v>2.6758695652173912</v>
      </c>
      <c r="AM379" s="104">
        <f t="shared" si="63"/>
        <v>8.1086956521739122</v>
      </c>
      <c r="AN379" s="83">
        <f t="shared" si="64"/>
        <v>9376.246956521738</v>
      </c>
      <c r="AO379" s="83">
        <f t="shared" si="65"/>
        <v>42619.304347826081</v>
      </c>
      <c r="AP379" s="182">
        <f t="shared" si="66"/>
        <v>31.993067290226083</v>
      </c>
      <c r="AQ379" s="182">
        <f t="shared" si="67"/>
        <v>145.42303313739126</v>
      </c>
      <c r="AR379" s="85"/>
      <c r="AS379" s="85">
        <v>38</v>
      </c>
      <c r="AT379" s="53"/>
      <c r="AU379" s="53"/>
      <c r="AV379" s="53"/>
      <c r="AW379" s="53"/>
      <c r="AX379" s="53"/>
      <c r="AY379" s="53"/>
      <c r="AZ379" s="53"/>
      <c r="BA379" s="53"/>
      <c r="BB379" s="53"/>
      <c r="BC379" s="111">
        <f t="shared" si="68"/>
        <v>9376.246956521738</v>
      </c>
      <c r="BD379" s="111">
        <f t="shared" si="69"/>
        <v>42619.304347826081</v>
      </c>
    </row>
    <row r="380" spans="1:56" ht="15.75" x14ac:dyDescent="0.25">
      <c r="A380" s="53">
        <v>370</v>
      </c>
      <c r="B380" s="53"/>
      <c r="C380" s="53"/>
      <c r="D380" s="53" t="s">
        <v>135</v>
      </c>
      <c r="E380" s="53"/>
      <c r="F380" s="53"/>
      <c r="G380" s="53" t="s">
        <v>211</v>
      </c>
      <c r="H380" s="53" t="s">
        <v>220</v>
      </c>
      <c r="I380" s="85"/>
      <c r="J380" s="85" t="s">
        <v>568</v>
      </c>
      <c r="K380" s="85" t="s">
        <v>569</v>
      </c>
      <c r="L380" s="53" t="s">
        <v>216</v>
      </c>
      <c r="M380" s="53" t="s">
        <v>224</v>
      </c>
      <c r="N380" s="53"/>
      <c r="O380" s="85" t="s">
        <v>567</v>
      </c>
      <c r="P380" s="53">
        <v>1</v>
      </c>
      <c r="Q380" s="183">
        <v>5</v>
      </c>
      <c r="R380" s="84">
        <v>0.92</v>
      </c>
      <c r="S380" s="53"/>
      <c r="T380" s="53"/>
      <c r="U380" s="53">
        <v>3</v>
      </c>
      <c r="V380" s="53">
        <v>480</v>
      </c>
      <c r="W380" s="53"/>
      <c r="X380" s="53"/>
      <c r="Y380" s="53"/>
      <c r="Z380" s="53"/>
      <c r="AA380" s="53"/>
      <c r="AB380" s="53"/>
      <c r="AC380" s="137" t="s">
        <v>110</v>
      </c>
      <c r="AD380" s="138" t="s">
        <v>111</v>
      </c>
      <c r="AE380" s="83">
        <v>8760</v>
      </c>
      <c r="AF380" s="139">
        <v>1</v>
      </c>
      <c r="AG380" s="179">
        <v>1</v>
      </c>
      <c r="AH380" s="179">
        <v>0.33</v>
      </c>
      <c r="AI380" s="179">
        <v>1</v>
      </c>
      <c r="AJ380" s="83">
        <f t="shared" si="60"/>
        <v>3504</v>
      </c>
      <c r="AK380" s="83">
        <f t="shared" si="61"/>
        <v>5256</v>
      </c>
      <c r="AL380" s="104">
        <f t="shared" si="62"/>
        <v>1.3379347826086956</v>
      </c>
      <c r="AM380" s="104">
        <f t="shared" si="63"/>
        <v>4.0543478260869561</v>
      </c>
      <c r="AN380" s="83">
        <f t="shared" si="64"/>
        <v>4688.123478260869</v>
      </c>
      <c r="AO380" s="83">
        <f t="shared" si="65"/>
        <v>21309.65217391304</v>
      </c>
      <c r="AP380" s="182">
        <f t="shared" si="66"/>
        <v>15.996533645113042</v>
      </c>
      <c r="AQ380" s="182">
        <f t="shared" si="67"/>
        <v>72.711516568695629</v>
      </c>
      <c r="AR380" s="85"/>
      <c r="AS380" s="85">
        <v>25</v>
      </c>
      <c r="AT380" s="53"/>
      <c r="AU380" s="53"/>
      <c r="AV380" s="53"/>
      <c r="AW380" s="53"/>
      <c r="AX380" s="53"/>
      <c r="AY380" s="53"/>
      <c r="AZ380" s="53"/>
      <c r="BA380" s="53"/>
      <c r="BB380" s="53"/>
      <c r="BC380" s="111">
        <f t="shared" si="68"/>
        <v>4688.123478260869</v>
      </c>
      <c r="BD380" s="111">
        <f t="shared" si="69"/>
        <v>21309.65217391304</v>
      </c>
    </row>
    <row r="381" spans="1:56" ht="15.75" x14ac:dyDescent="0.25">
      <c r="A381" s="53">
        <v>371</v>
      </c>
      <c r="B381" s="53"/>
      <c r="C381" s="53"/>
      <c r="D381" s="53" t="s">
        <v>135</v>
      </c>
      <c r="E381" s="53"/>
      <c r="F381" s="53"/>
      <c r="G381" s="53" t="s">
        <v>211</v>
      </c>
      <c r="H381" s="53" t="s">
        <v>220</v>
      </c>
      <c r="I381" s="85"/>
      <c r="J381" s="85" t="s">
        <v>715</v>
      </c>
      <c r="K381" s="85" t="s">
        <v>716</v>
      </c>
      <c r="L381" s="53" t="s">
        <v>216</v>
      </c>
      <c r="M381" s="53" t="s">
        <v>224</v>
      </c>
      <c r="N381" s="53"/>
      <c r="O381" s="85" t="s">
        <v>717</v>
      </c>
      <c r="P381" s="53">
        <v>1</v>
      </c>
      <c r="Q381" s="183">
        <v>2</v>
      </c>
      <c r="R381" s="84">
        <v>0.92</v>
      </c>
      <c r="S381" s="53"/>
      <c r="T381" s="53"/>
      <c r="U381" s="53">
        <v>3</v>
      </c>
      <c r="V381" s="53">
        <v>480</v>
      </c>
      <c r="W381" s="53"/>
      <c r="X381" s="53"/>
      <c r="Y381" s="53"/>
      <c r="Z381" s="53"/>
      <c r="AA381" s="53"/>
      <c r="AB381" s="53"/>
      <c r="AC381" s="137" t="s">
        <v>110</v>
      </c>
      <c r="AD381" s="138" t="s">
        <v>111</v>
      </c>
      <c r="AE381" s="83">
        <v>8760</v>
      </c>
      <c r="AF381" s="139">
        <v>1</v>
      </c>
      <c r="AG381" s="179">
        <v>1</v>
      </c>
      <c r="AH381" s="179">
        <v>0.33</v>
      </c>
      <c r="AI381" s="179">
        <v>1</v>
      </c>
      <c r="AJ381" s="83">
        <f t="shared" si="60"/>
        <v>3504</v>
      </c>
      <c r="AK381" s="83">
        <f t="shared" si="61"/>
        <v>5256</v>
      </c>
      <c r="AL381" s="104">
        <f t="shared" si="62"/>
        <v>0.53517391304347828</v>
      </c>
      <c r="AM381" s="104">
        <f t="shared" si="63"/>
        <v>1.6217391304347826</v>
      </c>
      <c r="AN381" s="83">
        <f t="shared" si="64"/>
        <v>1875.2493913043479</v>
      </c>
      <c r="AO381" s="83">
        <f t="shared" si="65"/>
        <v>8523.8608695652165</v>
      </c>
      <c r="AP381" s="182">
        <f t="shared" si="66"/>
        <v>6.398613458045217</v>
      </c>
      <c r="AQ381" s="182">
        <f t="shared" si="67"/>
        <v>29.084606627478255</v>
      </c>
      <c r="AR381" s="85"/>
      <c r="AS381" s="85">
        <v>5</v>
      </c>
      <c r="AT381" s="53"/>
      <c r="AU381" s="53"/>
      <c r="AV381" s="53"/>
      <c r="AW381" s="53"/>
      <c r="AX381" s="53"/>
      <c r="AY381" s="53"/>
      <c r="AZ381" s="53"/>
      <c r="BA381" s="53"/>
      <c r="BB381" s="53"/>
      <c r="BC381" s="111">
        <f t="shared" si="68"/>
        <v>1875.2493913043479</v>
      </c>
      <c r="BD381" s="111">
        <f t="shared" si="69"/>
        <v>8523.8608695652165</v>
      </c>
    </row>
    <row r="382" spans="1:56" ht="15.75" x14ac:dyDescent="0.25">
      <c r="A382" s="53">
        <v>372</v>
      </c>
      <c r="B382" s="53"/>
      <c r="C382" s="53"/>
      <c r="D382" s="53" t="s">
        <v>135</v>
      </c>
      <c r="E382" s="53"/>
      <c r="F382" s="53"/>
      <c r="G382" s="53" t="s">
        <v>211</v>
      </c>
      <c r="H382" s="53" t="s">
        <v>220</v>
      </c>
      <c r="I382" s="85" t="s">
        <v>245</v>
      </c>
      <c r="J382" s="85" t="s">
        <v>246</v>
      </c>
      <c r="K382" s="85" t="s">
        <v>266</v>
      </c>
      <c r="L382" s="53" t="s">
        <v>216</v>
      </c>
      <c r="M382" s="53" t="s">
        <v>224</v>
      </c>
      <c r="N382" s="53"/>
      <c r="O382" s="85" t="s">
        <v>225</v>
      </c>
      <c r="P382" s="53">
        <v>4</v>
      </c>
      <c r="Q382" s="183">
        <v>25</v>
      </c>
      <c r="R382" s="84">
        <v>0.92</v>
      </c>
      <c r="S382" s="53"/>
      <c r="T382" s="53"/>
      <c r="U382" s="53">
        <v>3</v>
      </c>
      <c r="V382" s="53">
        <v>480</v>
      </c>
      <c r="W382" s="53"/>
      <c r="X382" s="53"/>
      <c r="Y382" s="53"/>
      <c r="Z382" s="53"/>
      <c r="AA382" s="53"/>
      <c r="AB382" s="53"/>
      <c r="AC382" s="137" t="s">
        <v>110</v>
      </c>
      <c r="AD382" s="138" t="s">
        <v>111</v>
      </c>
      <c r="AE382" s="83">
        <v>8760</v>
      </c>
      <c r="AF382" s="139">
        <v>1</v>
      </c>
      <c r="AG382" s="179">
        <v>1</v>
      </c>
      <c r="AH382" s="179">
        <v>0.1</v>
      </c>
      <c r="AI382" s="179">
        <v>0.5</v>
      </c>
      <c r="AJ382" s="83">
        <f t="shared" si="60"/>
        <v>3504</v>
      </c>
      <c r="AK382" s="83">
        <f t="shared" si="61"/>
        <v>5256</v>
      </c>
      <c r="AL382" s="104">
        <f t="shared" si="62"/>
        <v>8.1086956521739122</v>
      </c>
      <c r="AM382" s="104">
        <f t="shared" si="63"/>
        <v>40.543478260869563</v>
      </c>
      <c r="AN382" s="83">
        <f t="shared" si="64"/>
        <v>28412.869565217388</v>
      </c>
      <c r="AO382" s="83">
        <f t="shared" si="65"/>
        <v>213096.52173913043</v>
      </c>
      <c r="AP382" s="182">
        <f t="shared" si="66"/>
        <v>96.948688758260857</v>
      </c>
      <c r="AQ382" s="182">
        <f t="shared" si="67"/>
        <v>727.11516568695652</v>
      </c>
      <c r="AR382" s="85"/>
      <c r="AS382" s="85">
        <v>60</v>
      </c>
      <c r="AT382" s="53"/>
      <c r="AU382" s="53"/>
      <c r="AV382" s="53"/>
      <c r="AW382" s="53"/>
      <c r="AX382" s="53"/>
      <c r="AY382" s="53"/>
      <c r="AZ382" s="53"/>
      <c r="BA382" s="53"/>
      <c r="BB382" s="53"/>
      <c r="BC382" s="111">
        <f t="shared" si="68"/>
        <v>28412.869565217388</v>
      </c>
      <c r="BD382" s="111">
        <f t="shared" si="69"/>
        <v>213096.52173913043</v>
      </c>
    </row>
    <row r="383" spans="1:56" ht="15.75" x14ac:dyDescent="0.25">
      <c r="A383" s="53">
        <v>373</v>
      </c>
      <c r="B383" s="53"/>
      <c r="C383" s="53"/>
      <c r="D383" s="53" t="s">
        <v>135</v>
      </c>
      <c r="E383" s="53"/>
      <c r="F383" s="53"/>
      <c r="G383" s="53" t="s">
        <v>211</v>
      </c>
      <c r="H383" s="53" t="s">
        <v>220</v>
      </c>
      <c r="I383" s="85" t="s">
        <v>245</v>
      </c>
      <c r="J383" s="85" t="s">
        <v>246</v>
      </c>
      <c r="K383" s="85" t="s">
        <v>247</v>
      </c>
      <c r="L383" s="53" t="s">
        <v>216</v>
      </c>
      <c r="M383" s="53" t="s">
        <v>224</v>
      </c>
      <c r="N383" s="53"/>
      <c r="O383" s="85" t="s">
        <v>225</v>
      </c>
      <c r="P383" s="53">
        <v>6</v>
      </c>
      <c r="Q383" s="183">
        <v>25</v>
      </c>
      <c r="R383" s="84">
        <v>0.92</v>
      </c>
      <c r="S383" s="53"/>
      <c r="T383" s="53"/>
      <c r="U383" s="53">
        <v>3</v>
      </c>
      <c r="V383" s="53">
        <v>480</v>
      </c>
      <c r="W383" s="53"/>
      <c r="X383" s="53"/>
      <c r="Y383" s="53"/>
      <c r="Z383" s="53"/>
      <c r="AA383" s="53"/>
      <c r="AB383" s="53"/>
      <c r="AC383" s="137" t="s">
        <v>110</v>
      </c>
      <c r="AD383" s="138" t="s">
        <v>111</v>
      </c>
      <c r="AE383" s="83">
        <v>8760</v>
      </c>
      <c r="AF383" s="139">
        <v>1</v>
      </c>
      <c r="AG383" s="179">
        <v>1</v>
      </c>
      <c r="AH383" s="179">
        <v>0.1</v>
      </c>
      <c r="AI383" s="179">
        <v>0.5</v>
      </c>
      <c r="AJ383" s="83">
        <f t="shared" si="60"/>
        <v>3504</v>
      </c>
      <c r="AK383" s="83">
        <f t="shared" si="61"/>
        <v>5256</v>
      </c>
      <c r="AL383" s="104">
        <f t="shared" si="62"/>
        <v>12.163043478260871</v>
      </c>
      <c r="AM383" s="104">
        <f t="shared" si="63"/>
        <v>60.815217391304351</v>
      </c>
      <c r="AN383" s="83">
        <f t="shared" si="64"/>
        <v>42619.304347826095</v>
      </c>
      <c r="AO383" s="83">
        <f t="shared" si="65"/>
        <v>319644.78260869568</v>
      </c>
      <c r="AP383" s="182">
        <f t="shared" si="66"/>
        <v>145.42303313739134</v>
      </c>
      <c r="AQ383" s="182">
        <f t="shared" si="67"/>
        <v>1090.6727485304348</v>
      </c>
      <c r="AR383" s="85"/>
      <c r="AS383" s="85">
        <v>60</v>
      </c>
      <c r="AT383" s="53"/>
      <c r="AU383" s="53"/>
      <c r="AV383" s="53"/>
      <c r="AW383" s="53"/>
      <c r="AX383" s="53"/>
      <c r="AY383" s="53"/>
      <c r="AZ383" s="53"/>
      <c r="BA383" s="53"/>
      <c r="BB383" s="53"/>
      <c r="BC383" s="111">
        <f t="shared" si="68"/>
        <v>42619.304347826095</v>
      </c>
      <c r="BD383" s="111">
        <f t="shared" si="69"/>
        <v>319644.78260869568</v>
      </c>
    </row>
    <row r="384" spans="1:56" ht="15.75" x14ac:dyDescent="0.25">
      <c r="A384" s="53">
        <v>374</v>
      </c>
      <c r="B384" s="53"/>
      <c r="C384" s="53"/>
      <c r="D384" s="53" t="s">
        <v>135</v>
      </c>
      <c r="E384" s="53"/>
      <c r="F384" s="53"/>
      <c r="G384" s="53" t="s">
        <v>211</v>
      </c>
      <c r="H384" s="53" t="s">
        <v>220</v>
      </c>
      <c r="I384" s="85"/>
      <c r="J384" s="85" t="s">
        <v>484</v>
      </c>
      <c r="K384" s="85" t="s">
        <v>485</v>
      </c>
      <c r="L384" s="53" t="s">
        <v>216</v>
      </c>
      <c r="M384" s="53" t="s">
        <v>224</v>
      </c>
      <c r="N384" s="53"/>
      <c r="O384" s="85" t="s">
        <v>486</v>
      </c>
      <c r="P384" s="53">
        <v>1</v>
      </c>
      <c r="Q384" s="183">
        <v>7.5</v>
      </c>
      <c r="R384" s="84">
        <v>0.92</v>
      </c>
      <c r="S384" s="53"/>
      <c r="T384" s="53"/>
      <c r="U384" s="53">
        <v>3</v>
      </c>
      <c r="V384" s="53">
        <v>480</v>
      </c>
      <c r="W384" s="53"/>
      <c r="X384" s="53"/>
      <c r="Y384" s="53"/>
      <c r="Z384" s="53"/>
      <c r="AA384" s="53"/>
      <c r="AB384" s="53"/>
      <c r="AC384" s="137" t="s">
        <v>110</v>
      </c>
      <c r="AD384" s="138" t="s">
        <v>111</v>
      </c>
      <c r="AE384" s="83">
        <v>8760</v>
      </c>
      <c r="AF384" s="139">
        <v>1</v>
      </c>
      <c r="AG384" s="179">
        <v>1</v>
      </c>
      <c r="AH384" s="179">
        <v>0.33</v>
      </c>
      <c r="AI384" s="179">
        <v>1</v>
      </c>
      <c r="AJ384" s="83">
        <f t="shared" si="60"/>
        <v>3504</v>
      </c>
      <c r="AK384" s="83">
        <f t="shared" si="61"/>
        <v>5256</v>
      </c>
      <c r="AL384" s="104">
        <f t="shared" si="62"/>
        <v>2.0069021739130437</v>
      </c>
      <c r="AM384" s="104">
        <f t="shared" si="63"/>
        <v>6.0815217391304346</v>
      </c>
      <c r="AN384" s="83">
        <f t="shared" si="64"/>
        <v>7032.1852173913048</v>
      </c>
      <c r="AO384" s="83">
        <f t="shared" si="65"/>
        <v>31964.478260869564</v>
      </c>
      <c r="AP384" s="182">
        <f t="shared" si="66"/>
        <v>23.994800467669567</v>
      </c>
      <c r="AQ384" s="182">
        <f t="shared" si="67"/>
        <v>109.06727485304347</v>
      </c>
      <c r="AR384" s="85"/>
      <c r="AS384" s="85">
        <v>32</v>
      </c>
      <c r="AT384" s="53"/>
      <c r="AU384" s="53"/>
      <c r="AV384" s="53"/>
      <c r="AW384" s="53"/>
      <c r="AX384" s="53"/>
      <c r="AY384" s="53"/>
      <c r="AZ384" s="53"/>
      <c r="BA384" s="53"/>
      <c r="BB384" s="53"/>
      <c r="BC384" s="111">
        <f t="shared" si="68"/>
        <v>7032.1852173913048</v>
      </c>
      <c r="BD384" s="111">
        <f t="shared" si="69"/>
        <v>31964.478260869564</v>
      </c>
    </row>
    <row r="385" spans="1:56" ht="15.75" x14ac:dyDescent="0.25">
      <c r="A385" s="53">
        <v>375</v>
      </c>
      <c r="B385" s="53"/>
      <c r="C385" s="53"/>
      <c r="D385" s="53" t="s">
        <v>135</v>
      </c>
      <c r="E385" s="83"/>
      <c r="F385" s="53"/>
      <c r="G385" s="53" t="s">
        <v>211</v>
      </c>
      <c r="H385" s="53" t="s">
        <v>220</v>
      </c>
      <c r="I385" s="85" t="s">
        <v>221</v>
      </c>
      <c r="J385" s="85" t="s">
        <v>222</v>
      </c>
      <c r="K385" s="85" t="s">
        <v>235</v>
      </c>
      <c r="L385" s="53" t="s">
        <v>216</v>
      </c>
      <c r="M385" s="53" t="s">
        <v>224</v>
      </c>
      <c r="N385" s="53"/>
      <c r="O385" s="85" t="s">
        <v>225</v>
      </c>
      <c r="P385" s="53">
        <v>13</v>
      </c>
      <c r="Q385" s="183">
        <v>25</v>
      </c>
      <c r="R385" s="84">
        <v>0.92</v>
      </c>
      <c r="S385" s="53"/>
      <c r="T385" s="53"/>
      <c r="U385" s="53">
        <v>3</v>
      </c>
      <c r="V385" s="53">
        <v>480</v>
      </c>
      <c r="W385" s="53"/>
      <c r="X385" s="53"/>
      <c r="Y385" s="53"/>
      <c r="Z385" s="53"/>
      <c r="AA385" s="53"/>
      <c r="AB385" s="53"/>
      <c r="AC385" s="137" t="s">
        <v>110</v>
      </c>
      <c r="AD385" s="138" t="s">
        <v>111</v>
      </c>
      <c r="AE385" s="83">
        <v>8760</v>
      </c>
      <c r="AF385" s="139">
        <v>1</v>
      </c>
      <c r="AG385" s="179">
        <v>1</v>
      </c>
      <c r="AH385" s="179">
        <v>0.1</v>
      </c>
      <c r="AI385" s="179">
        <v>0.5</v>
      </c>
      <c r="AJ385" s="83">
        <f t="shared" si="60"/>
        <v>3504</v>
      </c>
      <c r="AK385" s="83">
        <f t="shared" si="61"/>
        <v>5256</v>
      </c>
      <c r="AL385" s="104">
        <f t="shared" si="62"/>
        <v>26.353260869565215</v>
      </c>
      <c r="AM385" s="104">
        <f t="shared" si="63"/>
        <v>131.76630434782606</v>
      </c>
      <c r="AN385" s="83">
        <f t="shared" si="64"/>
        <v>92341.826086956513</v>
      </c>
      <c r="AO385" s="83">
        <f t="shared" si="65"/>
        <v>692563.69565217383</v>
      </c>
      <c r="AP385" s="182">
        <f t="shared" si="66"/>
        <v>315.0832384643478</v>
      </c>
      <c r="AQ385" s="182">
        <f t="shared" si="67"/>
        <v>2363.1242884826083</v>
      </c>
      <c r="AR385" s="85"/>
      <c r="AS385" s="85">
        <v>60</v>
      </c>
      <c r="AT385" s="53"/>
      <c r="AU385" s="53"/>
      <c r="AV385" s="53"/>
      <c r="AW385" s="53"/>
      <c r="AX385" s="53"/>
      <c r="AY385" s="53"/>
      <c r="AZ385" s="53"/>
      <c r="BA385" s="53"/>
      <c r="BB385" s="53"/>
      <c r="BC385" s="111">
        <f t="shared" si="68"/>
        <v>92341.826086956513</v>
      </c>
      <c r="BD385" s="111">
        <f t="shared" si="69"/>
        <v>692563.69565217383</v>
      </c>
    </row>
    <row r="386" spans="1:56" ht="15.75" x14ac:dyDescent="0.25">
      <c r="A386" s="53">
        <v>376</v>
      </c>
      <c r="B386" s="53"/>
      <c r="C386" s="53"/>
      <c r="D386" s="53" t="s">
        <v>135</v>
      </c>
      <c r="E386" s="53"/>
      <c r="F386" s="53"/>
      <c r="G386" s="53" t="s">
        <v>211</v>
      </c>
      <c r="H386" s="53" t="s">
        <v>220</v>
      </c>
      <c r="I386" s="85"/>
      <c r="J386" s="85" t="s">
        <v>473</v>
      </c>
      <c r="K386" s="85" t="s">
        <v>474</v>
      </c>
      <c r="L386" s="53" t="s">
        <v>216</v>
      </c>
      <c r="M386" s="53" t="s">
        <v>224</v>
      </c>
      <c r="N386" s="53"/>
      <c r="O386" s="85" t="s">
        <v>475</v>
      </c>
      <c r="P386" s="53">
        <v>1</v>
      </c>
      <c r="Q386" s="183">
        <v>10</v>
      </c>
      <c r="R386" s="84">
        <v>0.92</v>
      </c>
      <c r="S386" s="53"/>
      <c r="T386" s="53"/>
      <c r="U386" s="53">
        <v>3</v>
      </c>
      <c r="V386" s="53">
        <v>480</v>
      </c>
      <c r="W386" s="53"/>
      <c r="X386" s="53"/>
      <c r="Y386" s="53"/>
      <c r="Z386" s="53"/>
      <c r="AA386" s="53"/>
      <c r="AB386" s="53"/>
      <c r="AC386" s="137" t="s">
        <v>110</v>
      </c>
      <c r="AD386" s="138" t="s">
        <v>111</v>
      </c>
      <c r="AE386" s="83">
        <v>8760</v>
      </c>
      <c r="AF386" s="139">
        <v>1</v>
      </c>
      <c r="AG386" s="179">
        <v>1</v>
      </c>
      <c r="AH386" s="179">
        <v>0.33</v>
      </c>
      <c r="AI386" s="179">
        <v>1</v>
      </c>
      <c r="AJ386" s="83">
        <f t="shared" si="60"/>
        <v>3504</v>
      </c>
      <c r="AK386" s="83">
        <f t="shared" si="61"/>
        <v>5256</v>
      </c>
      <c r="AL386" s="104">
        <f t="shared" si="62"/>
        <v>2.6758695652173912</v>
      </c>
      <c r="AM386" s="104">
        <f t="shared" si="63"/>
        <v>8.1086956521739122</v>
      </c>
      <c r="AN386" s="83">
        <f t="shared" si="64"/>
        <v>9376.246956521738</v>
      </c>
      <c r="AO386" s="83">
        <f t="shared" si="65"/>
        <v>42619.304347826081</v>
      </c>
      <c r="AP386" s="182">
        <f t="shared" si="66"/>
        <v>31.993067290226083</v>
      </c>
      <c r="AQ386" s="182">
        <f t="shared" si="67"/>
        <v>145.42303313739126</v>
      </c>
      <c r="AR386" s="85"/>
      <c r="AS386" s="85">
        <v>23</v>
      </c>
      <c r="AT386" s="53"/>
      <c r="AU386" s="53"/>
      <c r="AV386" s="53"/>
      <c r="AW386" s="53"/>
      <c r="AX386" s="53"/>
      <c r="AY386" s="53"/>
      <c r="AZ386" s="53"/>
      <c r="BA386" s="53"/>
      <c r="BB386" s="53"/>
      <c r="BC386" s="111">
        <f t="shared" si="68"/>
        <v>9376.246956521738</v>
      </c>
      <c r="BD386" s="111">
        <f t="shared" si="69"/>
        <v>42619.304347826081</v>
      </c>
    </row>
    <row r="387" spans="1:56" ht="15.75" x14ac:dyDescent="0.25">
      <c r="A387" s="53">
        <v>377</v>
      </c>
      <c r="B387" s="53"/>
      <c r="C387" s="53"/>
      <c r="D387" s="53" t="s">
        <v>135</v>
      </c>
      <c r="E387" s="53"/>
      <c r="F387" s="53"/>
      <c r="G387" s="53" t="s">
        <v>211</v>
      </c>
      <c r="H387" s="53" t="s">
        <v>220</v>
      </c>
      <c r="I387" s="85"/>
      <c r="J387" s="85" t="s">
        <v>384</v>
      </c>
      <c r="K387" s="85" t="s">
        <v>385</v>
      </c>
      <c r="L387" s="53" t="s">
        <v>216</v>
      </c>
      <c r="M387" s="53" t="s">
        <v>224</v>
      </c>
      <c r="N387" s="53"/>
      <c r="O387" s="85" t="s">
        <v>386</v>
      </c>
      <c r="P387" s="53">
        <v>1</v>
      </c>
      <c r="Q387" s="183">
        <v>15</v>
      </c>
      <c r="R387" s="84">
        <v>0.92</v>
      </c>
      <c r="S387" s="53"/>
      <c r="T387" s="53"/>
      <c r="U387" s="53">
        <v>3</v>
      </c>
      <c r="V387" s="53">
        <v>480</v>
      </c>
      <c r="W387" s="53"/>
      <c r="X387" s="53"/>
      <c r="Y387" s="53"/>
      <c r="Z387" s="53"/>
      <c r="AA387" s="53"/>
      <c r="AB387" s="53"/>
      <c r="AC387" s="137" t="s">
        <v>110</v>
      </c>
      <c r="AD387" s="138" t="s">
        <v>111</v>
      </c>
      <c r="AE387" s="83">
        <v>8760</v>
      </c>
      <c r="AF387" s="139">
        <v>1</v>
      </c>
      <c r="AG387" s="179">
        <v>1</v>
      </c>
      <c r="AH387" s="179">
        <v>0.25</v>
      </c>
      <c r="AI387" s="179">
        <v>1</v>
      </c>
      <c r="AJ387" s="83">
        <f t="shared" si="60"/>
        <v>3504</v>
      </c>
      <c r="AK387" s="83">
        <f t="shared" si="61"/>
        <v>5256</v>
      </c>
      <c r="AL387" s="104">
        <f t="shared" si="62"/>
        <v>3.0407608695652173</v>
      </c>
      <c r="AM387" s="104">
        <f t="shared" si="63"/>
        <v>12.163043478260869</v>
      </c>
      <c r="AN387" s="83">
        <f t="shared" si="64"/>
        <v>10654.826086956522</v>
      </c>
      <c r="AO387" s="83">
        <f t="shared" si="65"/>
        <v>63928.956521739128</v>
      </c>
      <c r="AP387" s="182">
        <f t="shared" si="66"/>
        <v>36.355758284347822</v>
      </c>
      <c r="AQ387" s="182">
        <f t="shared" si="67"/>
        <v>218.13454970608694</v>
      </c>
      <c r="AR387" s="85"/>
      <c r="AS387" s="85">
        <v>43</v>
      </c>
      <c r="AT387" s="53"/>
      <c r="AU387" s="53"/>
      <c r="AV387" s="53"/>
      <c r="AW387" s="53"/>
      <c r="AX387" s="53"/>
      <c r="AY387" s="53"/>
      <c r="AZ387" s="53"/>
      <c r="BA387" s="53"/>
      <c r="BB387" s="53"/>
      <c r="BC387" s="111">
        <f t="shared" si="68"/>
        <v>10654.826086956522</v>
      </c>
      <c r="BD387" s="111">
        <f t="shared" si="69"/>
        <v>63928.956521739128</v>
      </c>
    </row>
    <row r="388" spans="1:56" ht="15.75" x14ac:dyDescent="0.25">
      <c r="A388" s="53">
        <v>378</v>
      </c>
      <c r="B388" s="53"/>
      <c r="C388" s="53"/>
      <c r="D388" s="53" t="s">
        <v>135</v>
      </c>
      <c r="E388" s="53"/>
      <c r="F388" s="53"/>
      <c r="G388" s="53" t="s">
        <v>211</v>
      </c>
      <c r="H388" s="53" t="s">
        <v>220</v>
      </c>
      <c r="I388" s="85"/>
      <c r="J388" s="85"/>
      <c r="K388" s="85" t="s">
        <v>945</v>
      </c>
      <c r="L388" s="53" t="s">
        <v>216</v>
      </c>
      <c r="M388" s="53" t="s">
        <v>224</v>
      </c>
      <c r="N388" s="53"/>
      <c r="O388" s="85" t="s">
        <v>946</v>
      </c>
      <c r="P388" s="53">
        <v>4</v>
      </c>
      <c r="Q388" s="183">
        <v>0.05</v>
      </c>
      <c r="R388" s="84">
        <v>0.8</v>
      </c>
      <c r="S388" s="53"/>
      <c r="T388" s="53"/>
      <c r="U388" s="53">
        <v>1</v>
      </c>
      <c r="V388" s="53">
        <v>120</v>
      </c>
      <c r="W388" s="53"/>
      <c r="X388" s="53"/>
      <c r="Y388" s="53"/>
      <c r="Z388" s="53"/>
      <c r="AA388" s="53"/>
      <c r="AB388" s="53"/>
      <c r="AC388" s="137" t="s">
        <v>110</v>
      </c>
      <c r="AD388" s="138" t="s">
        <v>111</v>
      </c>
      <c r="AE388" s="83">
        <v>8760</v>
      </c>
      <c r="AF388" s="139">
        <v>1</v>
      </c>
      <c r="AG388" s="179">
        <v>1</v>
      </c>
      <c r="AH388" s="179">
        <v>0.8</v>
      </c>
      <c r="AI388" s="179">
        <v>0</v>
      </c>
      <c r="AJ388" s="83">
        <f t="shared" si="60"/>
        <v>3504</v>
      </c>
      <c r="AK388" s="83">
        <f t="shared" si="61"/>
        <v>5256</v>
      </c>
      <c r="AL388" s="104">
        <f t="shared" si="62"/>
        <v>0.1492</v>
      </c>
      <c r="AM388" s="104">
        <f t="shared" si="63"/>
        <v>0</v>
      </c>
      <c r="AN388" s="83">
        <f t="shared" si="64"/>
        <v>522.79679999999996</v>
      </c>
      <c r="AO388" s="83">
        <f t="shared" si="65"/>
        <v>0</v>
      </c>
      <c r="AP388" s="182">
        <f t="shared" si="66"/>
        <v>1.783855873152</v>
      </c>
      <c r="AQ388" s="182">
        <f t="shared" si="67"/>
        <v>0</v>
      </c>
      <c r="AR388" s="85"/>
      <c r="AS388" s="85"/>
      <c r="AT388" s="53"/>
      <c r="AU388" s="53"/>
      <c r="AV388" s="53"/>
      <c r="AW388" s="53"/>
      <c r="AX388" s="53"/>
      <c r="AY388" s="53"/>
      <c r="AZ388" s="53"/>
      <c r="BA388" s="53"/>
      <c r="BB388" s="53"/>
      <c r="BC388" s="111">
        <f t="shared" si="68"/>
        <v>522.79679999999996</v>
      </c>
      <c r="BD388" s="111">
        <f t="shared" si="69"/>
        <v>0</v>
      </c>
    </row>
    <row r="389" spans="1:56" ht="15.75" x14ac:dyDescent="0.25">
      <c r="A389" s="53">
        <v>379</v>
      </c>
      <c r="B389" s="53"/>
      <c r="C389" s="53"/>
      <c r="D389" s="53" t="s">
        <v>135</v>
      </c>
      <c r="E389" s="53"/>
      <c r="F389" s="53"/>
      <c r="G389" s="53" t="s">
        <v>211</v>
      </c>
      <c r="H389" s="53" t="s">
        <v>220</v>
      </c>
      <c r="I389" s="85"/>
      <c r="J389" s="85" t="s">
        <v>935</v>
      </c>
      <c r="K389" s="85" t="s">
        <v>947</v>
      </c>
      <c r="L389" s="53" t="s">
        <v>216</v>
      </c>
      <c r="M389" s="53" t="s">
        <v>224</v>
      </c>
      <c r="N389" s="53"/>
      <c r="O389" s="85" t="s">
        <v>948</v>
      </c>
      <c r="P389" s="53">
        <v>1</v>
      </c>
      <c r="Q389" s="183">
        <v>2.5000000000000001E-2</v>
      </c>
      <c r="R389" s="84">
        <v>0.8</v>
      </c>
      <c r="S389" s="53"/>
      <c r="T389" s="53"/>
      <c r="U389" s="53">
        <v>1</v>
      </c>
      <c r="V389" s="53">
        <v>240</v>
      </c>
      <c r="W389" s="53"/>
      <c r="X389" s="53"/>
      <c r="Y389" s="53"/>
      <c r="Z389" s="53"/>
      <c r="AA389" s="53"/>
      <c r="AB389" s="53"/>
      <c r="AC389" s="137" t="s">
        <v>110</v>
      </c>
      <c r="AD389" s="138" t="s">
        <v>111</v>
      </c>
      <c r="AE389" s="83">
        <v>8760</v>
      </c>
      <c r="AF389" s="139">
        <v>1</v>
      </c>
      <c r="AG389" s="179">
        <v>1</v>
      </c>
      <c r="AH389" s="179">
        <v>0.8</v>
      </c>
      <c r="AI389" s="179">
        <v>0</v>
      </c>
      <c r="AJ389" s="83">
        <f t="shared" si="60"/>
        <v>3504</v>
      </c>
      <c r="AK389" s="83">
        <f t="shared" si="61"/>
        <v>5256</v>
      </c>
      <c r="AL389" s="104">
        <f t="shared" si="62"/>
        <v>1.865E-2</v>
      </c>
      <c r="AM389" s="104">
        <f t="shared" si="63"/>
        <v>0</v>
      </c>
      <c r="AN389" s="83">
        <f t="shared" si="64"/>
        <v>65.349599999999995</v>
      </c>
      <c r="AO389" s="83">
        <f t="shared" si="65"/>
        <v>0</v>
      </c>
      <c r="AP389" s="182">
        <f t="shared" si="66"/>
        <v>0.222981984144</v>
      </c>
      <c r="AQ389" s="182">
        <f t="shared" si="67"/>
        <v>0</v>
      </c>
      <c r="AR389" s="85"/>
      <c r="AS389" s="85"/>
      <c r="AT389" s="53"/>
      <c r="AU389" s="53"/>
      <c r="AV389" s="53"/>
      <c r="AW389" s="53"/>
      <c r="AX389" s="53"/>
      <c r="AY389" s="53"/>
      <c r="AZ389" s="53"/>
      <c r="BA389" s="53"/>
      <c r="BB389" s="53"/>
      <c r="BC389" s="111">
        <f t="shared" si="68"/>
        <v>65.349599999999995</v>
      </c>
      <c r="BD389" s="111">
        <f t="shared" si="69"/>
        <v>0</v>
      </c>
    </row>
    <row r="390" spans="1:56" ht="15.75" x14ac:dyDescent="0.25">
      <c r="A390" s="53">
        <v>380</v>
      </c>
      <c r="B390" s="53"/>
      <c r="C390" s="53"/>
      <c r="D390" s="53" t="s">
        <v>135</v>
      </c>
      <c r="E390" s="53"/>
      <c r="F390" s="53"/>
      <c r="G390" s="53" t="s">
        <v>211</v>
      </c>
      <c r="H390" s="53" t="s">
        <v>220</v>
      </c>
      <c r="I390" s="85"/>
      <c r="J390" s="85" t="s">
        <v>935</v>
      </c>
      <c r="K390" s="85" t="s">
        <v>947</v>
      </c>
      <c r="L390" s="53" t="s">
        <v>949</v>
      </c>
      <c r="M390" s="53" t="s">
        <v>231</v>
      </c>
      <c r="N390" s="53"/>
      <c r="O390" s="85" t="s">
        <v>950</v>
      </c>
      <c r="P390" s="53">
        <v>1</v>
      </c>
      <c r="Q390" s="183">
        <v>0</v>
      </c>
      <c r="R390" s="84"/>
      <c r="S390" s="53"/>
      <c r="T390" s="53"/>
      <c r="U390" s="53">
        <v>1</v>
      </c>
      <c r="V390" s="53">
        <v>240</v>
      </c>
      <c r="W390" s="53"/>
      <c r="X390" s="53"/>
      <c r="Y390" s="53"/>
      <c r="Z390" s="53"/>
      <c r="AA390" s="53"/>
      <c r="AB390" s="53"/>
      <c r="AC390" s="137" t="s">
        <v>110</v>
      </c>
      <c r="AD390" s="138" t="s">
        <v>111</v>
      </c>
      <c r="AE390" s="83">
        <v>8760</v>
      </c>
      <c r="AF390" s="139">
        <v>1</v>
      </c>
      <c r="AG390" s="179">
        <v>1</v>
      </c>
      <c r="AH390" s="179">
        <v>0.8</v>
      </c>
      <c r="AI390" s="179">
        <v>0</v>
      </c>
      <c r="AJ390" s="83">
        <f t="shared" si="60"/>
        <v>3504</v>
      </c>
      <c r="AK390" s="83">
        <f t="shared" si="61"/>
        <v>5256</v>
      </c>
      <c r="AL390" s="104">
        <f t="shared" si="62"/>
        <v>2.08</v>
      </c>
      <c r="AM390" s="104">
        <f t="shared" si="63"/>
        <v>0</v>
      </c>
      <c r="AN390" s="83">
        <f t="shared" si="64"/>
        <v>7288.3200000000006</v>
      </c>
      <c r="AO390" s="83">
        <f t="shared" si="65"/>
        <v>0</v>
      </c>
      <c r="AP390" s="182">
        <f t="shared" si="66"/>
        <v>24.868768204800002</v>
      </c>
      <c r="AQ390" s="182">
        <f t="shared" si="67"/>
        <v>0</v>
      </c>
      <c r="AR390" s="85"/>
      <c r="AS390" s="85"/>
      <c r="AT390" s="53"/>
      <c r="AU390" s="53"/>
      <c r="AV390" s="53">
        <v>2.6</v>
      </c>
      <c r="AW390" s="53"/>
      <c r="AX390" s="53"/>
      <c r="AY390" s="53"/>
      <c r="AZ390" s="53"/>
      <c r="BA390" s="53"/>
      <c r="BB390" s="53"/>
      <c r="BC390" s="111">
        <f t="shared" si="68"/>
        <v>7288.3200000000006</v>
      </c>
      <c r="BD390" s="111">
        <f t="shared" si="69"/>
        <v>0</v>
      </c>
    </row>
    <row r="391" spans="1:56" ht="15.75" x14ac:dyDescent="0.25">
      <c r="A391" s="53">
        <v>381</v>
      </c>
      <c r="B391" s="53"/>
      <c r="C391" s="53"/>
      <c r="D391" s="53" t="s">
        <v>135</v>
      </c>
      <c r="E391" s="53"/>
      <c r="F391" s="53"/>
      <c r="G391" s="53" t="s">
        <v>211</v>
      </c>
      <c r="H391" s="53" t="s">
        <v>586</v>
      </c>
      <c r="I391" s="85" t="s">
        <v>870</v>
      </c>
      <c r="J391" s="85" t="s">
        <v>870</v>
      </c>
      <c r="K391" s="85" t="s">
        <v>871</v>
      </c>
      <c r="L391" s="53" t="s">
        <v>216</v>
      </c>
      <c r="M391" s="53" t="s">
        <v>361</v>
      </c>
      <c r="N391" s="53"/>
      <c r="O391" s="85" t="s">
        <v>872</v>
      </c>
      <c r="P391" s="53">
        <v>1</v>
      </c>
      <c r="Q391" s="183">
        <v>1</v>
      </c>
      <c r="R391" s="84">
        <v>0.82499999999999996</v>
      </c>
      <c r="S391" s="53"/>
      <c r="T391" s="53"/>
      <c r="U391" s="53">
        <v>3</v>
      </c>
      <c r="V391" s="53">
        <v>480</v>
      </c>
      <c r="W391" s="53"/>
      <c r="X391" s="53"/>
      <c r="Y391" s="53"/>
      <c r="Z391" s="53"/>
      <c r="AA391" s="53"/>
      <c r="AB391" s="53"/>
      <c r="AC391" s="137" t="s">
        <v>110</v>
      </c>
      <c r="AD391" s="138" t="s">
        <v>111</v>
      </c>
      <c r="AE391" s="83">
        <v>8760</v>
      </c>
      <c r="AF391" s="139">
        <v>1</v>
      </c>
      <c r="AG391" s="179">
        <v>0.51369863013698636</v>
      </c>
      <c r="AH391" s="139">
        <v>1</v>
      </c>
      <c r="AI391" s="179">
        <v>0.8</v>
      </c>
      <c r="AJ391" s="83">
        <f t="shared" si="60"/>
        <v>1800.0000000000005</v>
      </c>
      <c r="AK391" s="83">
        <f t="shared" si="61"/>
        <v>2700.0000000000005</v>
      </c>
      <c r="AL391" s="104">
        <f t="shared" si="62"/>
        <v>0.90424242424242429</v>
      </c>
      <c r="AM391" s="104">
        <f t="shared" si="63"/>
        <v>0.72339393939393948</v>
      </c>
      <c r="AN391" s="83">
        <f t="shared" si="64"/>
        <v>1627.6363636363642</v>
      </c>
      <c r="AO391" s="83">
        <f t="shared" si="65"/>
        <v>1953.1636363636369</v>
      </c>
      <c r="AP391" s="182">
        <f t="shared" si="66"/>
        <v>5.5537231418181836</v>
      </c>
      <c r="AQ391" s="182">
        <f t="shared" si="67"/>
        <v>6.6644677701818198</v>
      </c>
      <c r="AR391" s="85"/>
      <c r="AS391" s="85"/>
      <c r="AT391" s="53"/>
      <c r="AU391" s="53"/>
      <c r="AV391" s="53"/>
      <c r="AW391" s="53"/>
      <c r="AX391" s="53"/>
      <c r="AY391" s="53"/>
      <c r="AZ391" s="53"/>
      <c r="BA391" s="53"/>
      <c r="BB391" s="53"/>
      <c r="BC391" s="111">
        <f t="shared" si="68"/>
        <v>1627.6363636363642</v>
      </c>
      <c r="BD391" s="111">
        <f t="shared" si="69"/>
        <v>1953.1636363636369</v>
      </c>
    </row>
    <row r="392" spans="1:56" ht="15.75" x14ac:dyDescent="0.25">
      <c r="A392" s="53">
        <v>382</v>
      </c>
      <c r="B392" s="53"/>
      <c r="C392" s="53"/>
      <c r="D392" s="53" t="s">
        <v>135</v>
      </c>
      <c r="E392" s="53"/>
      <c r="F392" s="53"/>
      <c r="G392" s="53" t="s">
        <v>211</v>
      </c>
      <c r="H392" s="53" t="s">
        <v>586</v>
      </c>
      <c r="I392" s="85"/>
      <c r="J392" s="85" t="s">
        <v>590</v>
      </c>
      <c r="K392" s="85" t="s">
        <v>591</v>
      </c>
      <c r="L392" s="53" t="s">
        <v>216</v>
      </c>
      <c r="M392" s="53" t="s">
        <v>361</v>
      </c>
      <c r="N392" s="53"/>
      <c r="O392" s="85" t="s">
        <v>592</v>
      </c>
      <c r="P392" s="53">
        <v>1</v>
      </c>
      <c r="Q392" s="183">
        <v>7.5</v>
      </c>
      <c r="R392" s="84">
        <v>0.89500000000000002</v>
      </c>
      <c r="S392" s="53"/>
      <c r="T392" s="53"/>
      <c r="U392" s="53">
        <v>3</v>
      </c>
      <c r="V392" s="53">
        <v>480</v>
      </c>
      <c r="W392" s="53"/>
      <c r="X392" s="53"/>
      <c r="Y392" s="53"/>
      <c r="Z392" s="53"/>
      <c r="AA392" s="53"/>
      <c r="AB392" s="53"/>
      <c r="AC392" s="137" t="s">
        <v>110</v>
      </c>
      <c r="AD392" s="138" t="s">
        <v>111</v>
      </c>
      <c r="AE392" s="83">
        <v>8760</v>
      </c>
      <c r="AF392" s="139">
        <v>1</v>
      </c>
      <c r="AG392" s="179">
        <v>0.51369863013698636</v>
      </c>
      <c r="AH392" s="139">
        <v>1</v>
      </c>
      <c r="AI392" s="179">
        <v>0.8</v>
      </c>
      <c r="AJ392" s="83">
        <f t="shared" si="60"/>
        <v>1800.0000000000005</v>
      </c>
      <c r="AK392" s="83">
        <f t="shared" si="61"/>
        <v>2700.0000000000005</v>
      </c>
      <c r="AL392" s="104">
        <f t="shared" si="62"/>
        <v>6.2513966480446923</v>
      </c>
      <c r="AM392" s="104">
        <f t="shared" si="63"/>
        <v>5.001117318435754</v>
      </c>
      <c r="AN392" s="83">
        <f t="shared" si="64"/>
        <v>11252.513966480448</v>
      </c>
      <c r="AO392" s="83">
        <f t="shared" si="65"/>
        <v>13503.016759776538</v>
      </c>
      <c r="AP392" s="182">
        <f t="shared" si="66"/>
        <v>38.395153005586593</v>
      </c>
      <c r="AQ392" s="182">
        <f t="shared" si="67"/>
        <v>46.074183606703912</v>
      </c>
      <c r="AR392" s="85"/>
      <c r="AS392" s="85"/>
      <c r="AT392" s="53"/>
      <c r="AU392" s="53"/>
      <c r="AV392" s="53"/>
      <c r="AW392" s="53"/>
      <c r="AX392" s="53"/>
      <c r="AY392" s="53"/>
      <c r="AZ392" s="53"/>
      <c r="BA392" s="53"/>
      <c r="BB392" s="53"/>
      <c r="BC392" s="111">
        <f t="shared" si="68"/>
        <v>11252.513966480448</v>
      </c>
      <c r="BD392" s="111">
        <f t="shared" si="69"/>
        <v>13503.016759776538</v>
      </c>
    </row>
    <row r="393" spans="1:56" ht="15.75" x14ac:dyDescent="0.25">
      <c r="A393" s="53">
        <v>383</v>
      </c>
      <c r="B393" s="53"/>
      <c r="C393" s="53"/>
      <c r="D393" s="53" t="s">
        <v>135</v>
      </c>
      <c r="E393" s="53"/>
      <c r="F393" s="53"/>
      <c r="G393" s="53" t="s">
        <v>211</v>
      </c>
      <c r="H393" s="53" t="s">
        <v>586</v>
      </c>
      <c r="I393" s="85"/>
      <c r="J393" s="85" t="s">
        <v>711</v>
      </c>
      <c r="K393" s="85" t="s">
        <v>712</v>
      </c>
      <c r="L393" s="53" t="s">
        <v>216</v>
      </c>
      <c r="M393" s="53" t="s">
        <v>361</v>
      </c>
      <c r="N393" s="53"/>
      <c r="O393" s="85" t="s">
        <v>713</v>
      </c>
      <c r="P393" s="53">
        <v>1</v>
      </c>
      <c r="Q393" s="183">
        <v>5</v>
      </c>
      <c r="R393" s="84">
        <v>0.875</v>
      </c>
      <c r="S393" s="53"/>
      <c r="T393" s="53"/>
      <c r="U393" s="53">
        <v>3</v>
      </c>
      <c r="V393" s="53">
        <v>480</v>
      </c>
      <c r="W393" s="53"/>
      <c r="X393" s="53"/>
      <c r="Y393" s="53"/>
      <c r="Z393" s="53"/>
      <c r="AA393" s="53"/>
      <c r="AB393" s="53"/>
      <c r="AC393" s="137" t="s">
        <v>110</v>
      </c>
      <c r="AD393" s="138" t="s">
        <v>111</v>
      </c>
      <c r="AE393" s="83">
        <v>8760</v>
      </c>
      <c r="AF393" s="139">
        <v>1</v>
      </c>
      <c r="AG393" s="179">
        <v>0.51369863013698636</v>
      </c>
      <c r="AH393" s="139">
        <v>1</v>
      </c>
      <c r="AI393" s="179">
        <v>0.8</v>
      </c>
      <c r="AJ393" s="83">
        <f t="shared" si="60"/>
        <v>1800.0000000000005</v>
      </c>
      <c r="AK393" s="83">
        <f t="shared" si="61"/>
        <v>2700.0000000000005</v>
      </c>
      <c r="AL393" s="104">
        <f t="shared" si="62"/>
        <v>4.2628571428571425</v>
      </c>
      <c r="AM393" s="104">
        <f t="shared" si="63"/>
        <v>3.4102857142857141</v>
      </c>
      <c r="AN393" s="83">
        <f t="shared" si="64"/>
        <v>7673.1428571428587</v>
      </c>
      <c r="AO393" s="83">
        <f t="shared" si="65"/>
        <v>9207.7714285714301</v>
      </c>
      <c r="AP393" s="182">
        <f t="shared" si="66"/>
        <v>26.181837668571433</v>
      </c>
      <c r="AQ393" s="182">
        <f t="shared" si="67"/>
        <v>31.418205202285719</v>
      </c>
      <c r="AR393" s="85"/>
      <c r="AS393" s="85"/>
      <c r="AT393" s="53"/>
      <c r="AU393" s="53"/>
      <c r="AV393" s="53"/>
      <c r="AW393" s="53"/>
      <c r="AX393" s="53"/>
      <c r="AY393" s="53"/>
      <c r="AZ393" s="53"/>
      <c r="BA393" s="53"/>
      <c r="BB393" s="53"/>
      <c r="BC393" s="111">
        <f t="shared" si="68"/>
        <v>7673.1428571428587</v>
      </c>
      <c r="BD393" s="111">
        <f t="shared" si="69"/>
        <v>9207.7714285714301</v>
      </c>
    </row>
    <row r="394" spans="1:56" ht="15.75" x14ac:dyDescent="0.25">
      <c r="A394" s="53">
        <v>384</v>
      </c>
      <c r="B394" s="53"/>
      <c r="C394" s="53"/>
      <c r="D394" s="53" t="s">
        <v>135</v>
      </c>
      <c r="E394" s="53"/>
      <c r="F394" s="53"/>
      <c r="G394" s="53" t="s">
        <v>211</v>
      </c>
      <c r="H394" s="53" t="s">
        <v>586</v>
      </c>
      <c r="I394" s="85"/>
      <c r="J394" s="85" t="s">
        <v>587</v>
      </c>
      <c r="K394" s="85" t="s">
        <v>588</v>
      </c>
      <c r="L394" s="53" t="s">
        <v>216</v>
      </c>
      <c r="M394" s="53" t="s">
        <v>361</v>
      </c>
      <c r="N394" s="53"/>
      <c r="O394" s="85" t="s">
        <v>589</v>
      </c>
      <c r="P394" s="53">
        <v>1</v>
      </c>
      <c r="Q394" s="183">
        <v>40</v>
      </c>
      <c r="R394" s="84">
        <v>0.93</v>
      </c>
      <c r="S394" s="53"/>
      <c r="T394" s="53"/>
      <c r="U394" s="53">
        <v>3</v>
      </c>
      <c r="V394" s="53">
        <v>480</v>
      </c>
      <c r="W394" s="53"/>
      <c r="X394" s="53"/>
      <c r="Y394" s="53"/>
      <c r="Z394" s="53"/>
      <c r="AA394" s="53"/>
      <c r="AB394" s="53"/>
      <c r="AC394" s="137" t="s">
        <v>110</v>
      </c>
      <c r="AD394" s="138" t="s">
        <v>111</v>
      </c>
      <c r="AE394" s="83">
        <v>8760</v>
      </c>
      <c r="AF394" s="139">
        <v>1</v>
      </c>
      <c r="AG394" s="179">
        <v>0.28999999999999998</v>
      </c>
      <c r="AH394" s="179">
        <v>0.5</v>
      </c>
      <c r="AI394" s="179">
        <v>0.33</v>
      </c>
      <c r="AJ394" s="83">
        <f t="shared" si="60"/>
        <v>1016.1599999999999</v>
      </c>
      <c r="AK394" s="83">
        <f t="shared" si="61"/>
        <v>1524.2399999999998</v>
      </c>
      <c r="AL394" s="104">
        <f t="shared" si="62"/>
        <v>16.043010752688172</v>
      </c>
      <c r="AM394" s="104">
        <f t="shared" si="63"/>
        <v>10.588387096774195</v>
      </c>
      <c r="AN394" s="83">
        <f t="shared" si="64"/>
        <v>16302.265806451611</v>
      </c>
      <c r="AO394" s="83">
        <f t="shared" si="65"/>
        <v>16139.243148387097</v>
      </c>
      <c r="AP394" s="182">
        <f t="shared" si="66"/>
        <v>55.625613248825793</v>
      </c>
      <c r="AQ394" s="182">
        <f t="shared" si="67"/>
        <v>55.069357116337542</v>
      </c>
      <c r="AR394" s="85"/>
      <c r="AS394" s="85"/>
      <c r="AT394" s="53"/>
      <c r="AU394" s="53"/>
      <c r="AV394" s="53"/>
      <c r="AW394" s="53"/>
      <c r="AX394" s="53"/>
      <c r="AY394" s="53"/>
      <c r="AZ394" s="53"/>
      <c r="BA394" s="53"/>
      <c r="BB394" s="53"/>
      <c r="BC394" s="111">
        <f t="shared" si="68"/>
        <v>16302.265806451611</v>
      </c>
      <c r="BD394" s="111">
        <f t="shared" si="69"/>
        <v>16139.243148387097</v>
      </c>
    </row>
    <row r="395" spans="1:56" ht="15.75" x14ac:dyDescent="0.25">
      <c r="A395" s="53">
        <v>385</v>
      </c>
      <c r="B395" s="53"/>
      <c r="C395" s="53"/>
      <c r="D395" s="53" t="s">
        <v>135</v>
      </c>
      <c r="E395" s="53"/>
      <c r="F395" s="53"/>
      <c r="G395" s="53" t="s">
        <v>211</v>
      </c>
      <c r="H395" s="53" t="s">
        <v>248</v>
      </c>
      <c r="I395" s="85" t="s">
        <v>249</v>
      </c>
      <c r="J395" s="85" t="s">
        <v>279</v>
      </c>
      <c r="K395" s="85" t="s">
        <v>280</v>
      </c>
      <c r="L395" s="53" t="s">
        <v>216</v>
      </c>
      <c r="M395" s="53" t="s">
        <v>252</v>
      </c>
      <c r="N395" s="53"/>
      <c r="O395" s="85" t="s">
        <v>281</v>
      </c>
      <c r="P395" s="53">
        <v>1</v>
      </c>
      <c r="Q395" s="183">
        <v>100</v>
      </c>
      <c r="R395" s="84">
        <v>0.94499999999999995</v>
      </c>
      <c r="S395" s="53"/>
      <c r="T395" s="53"/>
      <c r="U395" s="53">
        <v>3</v>
      </c>
      <c r="V395" s="53">
        <v>480</v>
      </c>
      <c r="W395" s="53"/>
      <c r="X395" s="53"/>
      <c r="Y395" s="53"/>
      <c r="Z395" s="53"/>
      <c r="AA395" s="53"/>
      <c r="AB395" s="53"/>
      <c r="AC395" s="137" t="s">
        <v>110</v>
      </c>
      <c r="AD395" s="138" t="s">
        <v>111</v>
      </c>
      <c r="AE395" s="83">
        <v>8760</v>
      </c>
      <c r="AF395" s="139">
        <v>1</v>
      </c>
      <c r="AG395" s="179">
        <v>1</v>
      </c>
      <c r="AH395" s="139">
        <v>1</v>
      </c>
      <c r="AI395" s="139">
        <v>1</v>
      </c>
      <c r="AJ395" s="83">
        <f t="shared" ref="AJ395:AJ458" si="71">$AE395*AG395*$AA$3</f>
        <v>3504</v>
      </c>
      <c r="AK395" s="83">
        <f t="shared" ref="AK395:AK458" si="72">$AE395*AG395*$AA$4</f>
        <v>5256</v>
      </c>
      <c r="AL395" s="104">
        <f t="shared" ref="AL395:AL458" si="73">IF($Q395&gt;0,((($P395*$Q395*$AP$2/$R395)*$AH395)),IF($U395=1,($AV395*$AF395*$AH395),((1.732*($V395/1000)*$S395*$AP$3*$AF395*$AH395*$P395))))</f>
        <v>78.941798941798936</v>
      </c>
      <c r="AM395" s="104">
        <f t="shared" ref="AM395:AM458" si="74">IF($Q395&gt;0,((($P395*$Q395*$AP$2/$R395)*$AI395)),IF($U395=1,($AV395*$AF395*$AI395),((1.732*($V395/1000)*$S395*$AP$3*$AF395*$AI395*$P395))))</f>
        <v>78.941798941798936</v>
      </c>
      <c r="AN395" s="83">
        <f t="shared" ref="AN395:AN458" si="75">AL395*AJ395</f>
        <v>276612.06349206349</v>
      </c>
      <c r="AO395" s="83">
        <f t="shared" ref="AO395:AO458" si="76">AM395*AK395</f>
        <v>414918.09523809521</v>
      </c>
      <c r="AP395" s="83">
        <f t="shared" ref="AP395:AP458" si="77">AN395*$AP$7/1000000</f>
        <v>943.83908632380951</v>
      </c>
      <c r="AQ395" s="83">
        <f t="shared" ref="AQ395:AQ458" si="78">AO395*$AQ$7/1000000</f>
        <v>1415.7586294857142</v>
      </c>
      <c r="AR395" s="85"/>
      <c r="AS395" s="85"/>
      <c r="AT395" s="53"/>
      <c r="AU395" s="53"/>
      <c r="AV395" s="53"/>
      <c r="AW395" s="53"/>
      <c r="AX395" s="53"/>
      <c r="AY395" s="53"/>
      <c r="AZ395" s="53"/>
      <c r="BA395" s="53"/>
      <c r="BB395" s="53"/>
      <c r="BC395" s="111">
        <f t="shared" ref="BC395:BC458" si="79">AN395</f>
        <v>276612.06349206349</v>
      </c>
      <c r="BD395" s="111">
        <f t="shared" ref="BD395:BD458" si="80">AO395</f>
        <v>414918.09523809521</v>
      </c>
    </row>
    <row r="396" spans="1:56" ht="15.75" x14ac:dyDescent="0.25">
      <c r="A396" s="53">
        <v>386</v>
      </c>
      <c r="B396" s="53"/>
      <c r="C396" s="53"/>
      <c r="D396" s="53" t="s">
        <v>135</v>
      </c>
      <c r="E396" s="53"/>
      <c r="F396" s="53"/>
      <c r="G396" s="53" t="s">
        <v>211</v>
      </c>
      <c r="H396" s="53" t="s">
        <v>248</v>
      </c>
      <c r="I396" s="85" t="s">
        <v>249</v>
      </c>
      <c r="J396" s="85" t="s">
        <v>286</v>
      </c>
      <c r="K396" s="85" t="s">
        <v>287</v>
      </c>
      <c r="L396" s="53" t="s">
        <v>216</v>
      </c>
      <c r="M396" s="53" t="s">
        <v>252</v>
      </c>
      <c r="N396" s="53"/>
      <c r="O396" s="85" t="s">
        <v>288</v>
      </c>
      <c r="P396" s="53">
        <v>1</v>
      </c>
      <c r="Q396" s="183">
        <v>75</v>
      </c>
      <c r="R396" s="84">
        <v>0.94099999999999995</v>
      </c>
      <c r="S396" s="53"/>
      <c r="T396" s="53"/>
      <c r="U396" s="53">
        <v>3</v>
      </c>
      <c r="V396" s="53">
        <v>480</v>
      </c>
      <c r="W396" s="53"/>
      <c r="X396" s="53"/>
      <c r="Y396" s="53"/>
      <c r="Z396" s="53"/>
      <c r="AA396" s="53"/>
      <c r="AB396" s="53"/>
      <c r="AC396" s="137" t="s">
        <v>110</v>
      </c>
      <c r="AD396" s="138" t="s">
        <v>111</v>
      </c>
      <c r="AE396" s="83">
        <v>8760</v>
      </c>
      <c r="AF396" s="139">
        <v>1</v>
      </c>
      <c r="AG396" s="179">
        <v>1</v>
      </c>
      <c r="AH396" s="139">
        <v>1</v>
      </c>
      <c r="AI396" s="139">
        <v>1</v>
      </c>
      <c r="AJ396" s="83">
        <f t="shared" si="71"/>
        <v>3504</v>
      </c>
      <c r="AK396" s="83">
        <f t="shared" si="72"/>
        <v>5256</v>
      </c>
      <c r="AL396" s="104">
        <f t="shared" si="73"/>
        <v>59.45802337938364</v>
      </c>
      <c r="AM396" s="104">
        <f t="shared" si="74"/>
        <v>59.45802337938364</v>
      </c>
      <c r="AN396" s="83">
        <f t="shared" si="75"/>
        <v>208340.91392136028</v>
      </c>
      <c r="AO396" s="83">
        <f t="shared" si="76"/>
        <v>312511.37088204041</v>
      </c>
      <c r="AP396" s="182">
        <f t="shared" si="77"/>
        <v>710.88836602763024</v>
      </c>
      <c r="AQ396" s="182">
        <f t="shared" si="78"/>
        <v>1066.3325490414454</v>
      </c>
      <c r="AR396" s="85"/>
      <c r="AS396" s="85"/>
      <c r="AT396" s="53"/>
      <c r="AU396" s="53"/>
      <c r="AV396" s="53"/>
      <c r="AW396" s="53"/>
      <c r="AX396" s="53"/>
      <c r="AY396" s="53"/>
      <c r="AZ396" s="53"/>
      <c r="BA396" s="53"/>
      <c r="BB396" s="53"/>
      <c r="BC396" s="111">
        <f t="shared" si="79"/>
        <v>208340.91392136028</v>
      </c>
      <c r="BD396" s="111">
        <f t="shared" si="80"/>
        <v>312511.37088204041</v>
      </c>
    </row>
    <row r="397" spans="1:56" ht="15.75" x14ac:dyDescent="0.25">
      <c r="A397" s="53">
        <v>387</v>
      </c>
      <c r="B397" s="53"/>
      <c r="C397" s="53"/>
      <c r="D397" s="53" t="s">
        <v>135</v>
      </c>
      <c r="E397" s="53"/>
      <c r="F397" s="53"/>
      <c r="G397" s="53" t="s">
        <v>211</v>
      </c>
      <c r="H397" s="53" t="s">
        <v>248</v>
      </c>
      <c r="I397" s="85" t="s">
        <v>249</v>
      </c>
      <c r="J397" s="85" t="s">
        <v>279</v>
      </c>
      <c r="K397" s="85" t="s">
        <v>282</v>
      </c>
      <c r="L397" s="53" t="s">
        <v>216</v>
      </c>
      <c r="M397" s="53" t="s">
        <v>252</v>
      </c>
      <c r="N397" s="53"/>
      <c r="O397" s="85" t="s">
        <v>281</v>
      </c>
      <c r="P397" s="53">
        <v>1</v>
      </c>
      <c r="Q397" s="183">
        <v>100</v>
      </c>
      <c r="R397" s="84">
        <v>0.94499999999999995</v>
      </c>
      <c r="S397" s="53"/>
      <c r="T397" s="53"/>
      <c r="U397" s="53">
        <v>3</v>
      </c>
      <c r="V397" s="53">
        <v>480</v>
      </c>
      <c r="W397" s="53"/>
      <c r="X397" s="53"/>
      <c r="Y397" s="53"/>
      <c r="Z397" s="53"/>
      <c r="AA397" s="53"/>
      <c r="AB397" s="53"/>
      <c r="AC397" s="137" t="s">
        <v>110</v>
      </c>
      <c r="AD397" s="138" t="s">
        <v>111</v>
      </c>
      <c r="AE397" s="83">
        <v>8760</v>
      </c>
      <c r="AF397" s="139">
        <v>1</v>
      </c>
      <c r="AG397" s="179">
        <v>1</v>
      </c>
      <c r="AH397" s="139">
        <v>1</v>
      </c>
      <c r="AI397" s="139">
        <v>1</v>
      </c>
      <c r="AJ397" s="83">
        <f t="shared" si="71"/>
        <v>3504</v>
      </c>
      <c r="AK397" s="83">
        <f t="shared" si="72"/>
        <v>5256</v>
      </c>
      <c r="AL397" s="104">
        <f t="shared" si="73"/>
        <v>78.941798941798936</v>
      </c>
      <c r="AM397" s="104">
        <f t="shared" si="74"/>
        <v>78.941798941798936</v>
      </c>
      <c r="AN397" s="83">
        <f t="shared" si="75"/>
        <v>276612.06349206349</v>
      </c>
      <c r="AO397" s="83">
        <f t="shared" si="76"/>
        <v>414918.09523809521</v>
      </c>
      <c r="AP397" s="83">
        <f t="shared" si="77"/>
        <v>943.83908632380951</v>
      </c>
      <c r="AQ397" s="83">
        <f t="shared" si="78"/>
        <v>1415.7586294857142</v>
      </c>
      <c r="AR397" s="85"/>
      <c r="AS397" s="85"/>
      <c r="AT397" s="53"/>
      <c r="AU397" s="53"/>
      <c r="AV397" s="53"/>
      <c r="AW397" s="53"/>
      <c r="AX397" s="53"/>
      <c r="AY397" s="53"/>
      <c r="AZ397" s="53"/>
      <c r="BA397" s="53"/>
      <c r="BB397" s="53"/>
      <c r="BC397" s="111">
        <f t="shared" si="79"/>
        <v>276612.06349206349</v>
      </c>
      <c r="BD397" s="111">
        <f t="shared" si="80"/>
        <v>414918.09523809521</v>
      </c>
    </row>
    <row r="398" spans="1:56" ht="15.75" x14ac:dyDescent="0.25">
      <c r="A398" s="53">
        <v>388</v>
      </c>
      <c r="B398" s="53"/>
      <c r="C398" s="53"/>
      <c r="D398" s="53" t="s">
        <v>135</v>
      </c>
      <c r="E398" s="53"/>
      <c r="F398" s="53"/>
      <c r="G398" s="53" t="s">
        <v>211</v>
      </c>
      <c r="H398" s="53" t="s">
        <v>248</v>
      </c>
      <c r="I398" s="85" t="s">
        <v>249</v>
      </c>
      <c r="J398" s="85" t="s">
        <v>286</v>
      </c>
      <c r="K398" s="85" t="s">
        <v>289</v>
      </c>
      <c r="L398" s="53" t="s">
        <v>216</v>
      </c>
      <c r="M398" s="53" t="s">
        <v>252</v>
      </c>
      <c r="N398" s="53"/>
      <c r="O398" s="85" t="s">
        <v>288</v>
      </c>
      <c r="P398" s="53">
        <v>1</v>
      </c>
      <c r="Q398" s="183">
        <v>75</v>
      </c>
      <c r="R398" s="84">
        <v>0.94099999999999995</v>
      </c>
      <c r="S398" s="53"/>
      <c r="T398" s="53"/>
      <c r="U398" s="53">
        <v>3</v>
      </c>
      <c r="V398" s="53">
        <v>480</v>
      </c>
      <c r="W398" s="53"/>
      <c r="X398" s="53"/>
      <c r="Y398" s="53"/>
      <c r="Z398" s="53"/>
      <c r="AA398" s="53"/>
      <c r="AB398" s="53"/>
      <c r="AC398" s="137" t="s">
        <v>110</v>
      </c>
      <c r="AD398" s="138" t="s">
        <v>111</v>
      </c>
      <c r="AE398" s="83">
        <v>8760</v>
      </c>
      <c r="AF398" s="139">
        <v>1</v>
      </c>
      <c r="AG398" s="179">
        <v>1</v>
      </c>
      <c r="AH398" s="139">
        <v>1</v>
      </c>
      <c r="AI398" s="139">
        <v>1</v>
      </c>
      <c r="AJ398" s="83">
        <f t="shared" si="71"/>
        <v>3504</v>
      </c>
      <c r="AK398" s="83">
        <f t="shared" si="72"/>
        <v>5256</v>
      </c>
      <c r="AL398" s="104">
        <f t="shared" si="73"/>
        <v>59.45802337938364</v>
      </c>
      <c r="AM398" s="104">
        <f t="shared" si="74"/>
        <v>59.45802337938364</v>
      </c>
      <c r="AN398" s="83">
        <f t="shared" si="75"/>
        <v>208340.91392136028</v>
      </c>
      <c r="AO398" s="83">
        <f t="shared" si="76"/>
        <v>312511.37088204041</v>
      </c>
      <c r="AP398" s="182">
        <f t="shared" si="77"/>
        <v>710.88836602763024</v>
      </c>
      <c r="AQ398" s="182">
        <f t="shared" si="78"/>
        <v>1066.3325490414454</v>
      </c>
      <c r="AR398" s="85"/>
      <c r="AS398" s="85"/>
      <c r="AT398" s="53"/>
      <c r="AU398" s="53"/>
      <c r="AV398" s="53"/>
      <c r="AW398" s="53"/>
      <c r="AX398" s="53"/>
      <c r="AY398" s="53"/>
      <c r="AZ398" s="53"/>
      <c r="BA398" s="53"/>
      <c r="BB398" s="53"/>
      <c r="BC398" s="111">
        <f t="shared" si="79"/>
        <v>208340.91392136028</v>
      </c>
      <c r="BD398" s="111">
        <f t="shared" si="80"/>
        <v>312511.37088204041</v>
      </c>
    </row>
    <row r="399" spans="1:56" ht="15.75" x14ac:dyDescent="0.25">
      <c r="A399" s="53">
        <v>389</v>
      </c>
      <c r="B399" s="53"/>
      <c r="C399" s="53"/>
      <c r="D399" s="53" t="s">
        <v>135</v>
      </c>
      <c r="E399" s="53"/>
      <c r="F399" s="53"/>
      <c r="G399" s="53" t="s">
        <v>211</v>
      </c>
      <c r="H399" s="53" t="s">
        <v>248</v>
      </c>
      <c r="I399" s="85" t="s">
        <v>249</v>
      </c>
      <c r="J399" s="85" t="s">
        <v>353</v>
      </c>
      <c r="K399" s="85" t="s">
        <v>354</v>
      </c>
      <c r="L399" s="53" t="s">
        <v>216</v>
      </c>
      <c r="M399" s="53" t="s">
        <v>252</v>
      </c>
      <c r="N399" s="53"/>
      <c r="O399" s="85" t="s">
        <v>355</v>
      </c>
      <c r="P399" s="53">
        <v>1</v>
      </c>
      <c r="Q399" s="183">
        <v>25</v>
      </c>
      <c r="R399" s="84">
        <v>0.92400000000000004</v>
      </c>
      <c r="S399" s="53"/>
      <c r="T399" s="53"/>
      <c r="U399" s="53">
        <v>3</v>
      </c>
      <c r="V399" s="53">
        <v>480</v>
      </c>
      <c r="W399" s="53"/>
      <c r="X399" s="53"/>
      <c r="Y399" s="53"/>
      <c r="Z399" s="53"/>
      <c r="AA399" s="53"/>
      <c r="AB399" s="53"/>
      <c r="AC399" s="137" t="s">
        <v>110</v>
      </c>
      <c r="AD399" s="138" t="s">
        <v>111</v>
      </c>
      <c r="AE399" s="83">
        <v>8760</v>
      </c>
      <c r="AF399" s="139">
        <v>1</v>
      </c>
      <c r="AG399" s="179">
        <v>1</v>
      </c>
      <c r="AH399" s="139">
        <v>1</v>
      </c>
      <c r="AI399" s="139">
        <v>1</v>
      </c>
      <c r="AJ399" s="83">
        <f t="shared" si="71"/>
        <v>3504</v>
      </c>
      <c r="AK399" s="83">
        <f t="shared" si="72"/>
        <v>5256</v>
      </c>
      <c r="AL399" s="104">
        <f t="shared" si="73"/>
        <v>20.183982683982681</v>
      </c>
      <c r="AM399" s="104">
        <f t="shared" si="74"/>
        <v>20.183982683982681</v>
      </c>
      <c r="AN399" s="83">
        <f t="shared" si="75"/>
        <v>70724.675324675307</v>
      </c>
      <c r="AO399" s="83">
        <f t="shared" si="76"/>
        <v>106087.01298701297</v>
      </c>
      <c r="AP399" s="83">
        <f t="shared" si="77"/>
        <v>241.32249366233759</v>
      </c>
      <c r="AQ399" s="83">
        <f t="shared" si="78"/>
        <v>361.98374049350645</v>
      </c>
      <c r="AR399" s="85"/>
      <c r="AS399" s="85"/>
      <c r="AT399" s="53"/>
      <c r="AU399" s="53"/>
      <c r="AV399" s="53"/>
      <c r="AW399" s="53"/>
      <c r="AX399" s="53"/>
      <c r="AY399" s="53"/>
      <c r="AZ399" s="53"/>
      <c r="BA399" s="53"/>
      <c r="BB399" s="53"/>
      <c r="BC399" s="111">
        <f t="shared" si="79"/>
        <v>70724.675324675307</v>
      </c>
      <c r="BD399" s="111">
        <f t="shared" si="80"/>
        <v>106087.01298701297</v>
      </c>
    </row>
    <row r="400" spans="1:56" ht="15.75" x14ac:dyDescent="0.25">
      <c r="A400" s="53">
        <v>390</v>
      </c>
      <c r="B400" s="53"/>
      <c r="C400" s="53"/>
      <c r="D400" s="53" t="s">
        <v>135</v>
      </c>
      <c r="E400" s="53"/>
      <c r="F400" s="53"/>
      <c r="G400" s="53" t="s">
        <v>211</v>
      </c>
      <c r="H400" s="53" t="s">
        <v>248</v>
      </c>
      <c r="I400" s="85" t="s">
        <v>249</v>
      </c>
      <c r="J400" s="85" t="s">
        <v>343</v>
      </c>
      <c r="K400" s="85" t="s">
        <v>374</v>
      </c>
      <c r="L400" s="53" t="s">
        <v>216</v>
      </c>
      <c r="M400" s="53" t="s">
        <v>252</v>
      </c>
      <c r="N400" s="53"/>
      <c r="O400" s="85" t="s">
        <v>264</v>
      </c>
      <c r="P400" s="53">
        <v>1</v>
      </c>
      <c r="Q400" s="183">
        <v>20</v>
      </c>
      <c r="R400" s="84">
        <v>0.91</v>
      </c>
      <c r="S400" s="53"/>
      <c r="T400" s="53"/>
      <c r="U400" s="53">
        <v>3</v>
      </c>
      <c r="V400" s="53">
        <v>480</v>
      </c>
      <c r="W400" s="53"/>
      <c r="X400" s="53"/>
      <c r="Y400" s="53"/>
      <c r="Z400" s="53"/>
      <c r="AA400" s="53"/>
      <c r="AB400" s="53"/>
      <c r="AC400" s="137" t="s">
        <v>110</v>
      </c>
      <c r="AD400" s="138" t="s">
        <v>111</v>
      </c>
      <c r="AE400" s="83">
        <v>8760</v>
      </c>
      <c r="AF400" s="139">
        <v>1</v>
      </c>
      <c r="AG400" s="179">
        <v>0.75</v>
      </c>
      <c r="AH400" s="139">
        <v>1</v>
      </c>
      <c r="AI400" s="139">
        <v>1</v>
      </c>
      <c r="AJ400" s="83">
        <f t="shared" si="71"/>
        <v>2628</v>
      </c>
      <c r="AK400" s="83">
        <f t="shared" si="72"/>
        <v>3942</v>
      </c>
      <c r="AL400" s="104">
        <f t="shared" si="73"/>
        <v>16.395604395604394</v>
      </c>
      <c r="AM400" s="104">
        <f t="shared" si="74"/>
        <v>16.395604395604394</v>
      </c>
      <c r="AN400" s="83">
        <f t="shared" si="75"/>
        <v>43087.648351648349</v>
      </c>
      <c r="AO400" s="83">
        <f t="shared" si="76"/>
        <v>64631.472527472521</v>
      </c>
      <c r="AP400" s="182">
        <f t="shared" si="77"/>
        <v>147.02108844659341</v>
      </c>
      <c r="AQ400" s="182">
        <f t="shared" si="78"/>
        <v>220.53163266989009</v>
      </c>
      <c r="AR400" s="85"/>
      <c r="AS400" s="85"/>
      <c r="AT400" s="53"/>
      <c r="AU400" s="53"/>
      <c r="AV400" s="53"/>
      <c r="AW400" s="53"/>
      <c r="AX400" s="53"/>
      <c r="AY400" s="53"/>
      <c r="AZ400" s="53"/>
      <c r="BA400" s="53"/>
      <c r="BB400" s="53"/>
      <c r="BC400" s="111">
        <f t="shared" si="79"/>
        <v>43087.648351648349</v>
      </c>
      <c r="BD400" s="111">
        <f t="shared" si="80"/>
        <v>64631.472527472521</v>
      </c>
    </row>
    <row r="401" spans="1:56" ht="15.75" x14ac:dyDescent="0.25">
      <c r="A401" s="53">
        <v>391</v>
      </c>
      <c r="B401" s="53"/>
      <c r="C401" s="53"/>
      <c r="D401" s="53" t="s">
        <v>135</v>
      </c>
      <c r="E401" s="53"/>
      <c r="F401" s="53"/>
      <c r="G401" s="53" t="s">
        <v>211</v>
      </c>
      <c r="H401" s="53" t="s">
        <v>248</v>
      </c>
      <c r="I401" s="85" t="s">
        <v>249</v>
      </c>
      <c r="J401" s="85" t="s">
        <v>343</v>
      </c>
      <c r="K401" s="85" t="s">
        <v>375</v>
      </c>
      <c r="L401" s="53" t="s">
        <v>216</v>
      </c>
      <c r="M401" s="53" t="s">
        <v>252</v>
      </c>
      <c r="N401" s="53"/>
      <c r="O401" s="85" t="s">
        <v>264</v>
      </c>
      <c r="P401" s="53">
        <v>1</v>
      </c>
      <c r="Q401" s="183">
        <v>20</v>
      </c>
      <c r="R401" s="84">
        <v>0.91</v>
      </c>
      <c r="S401" s="53"/>
      <c r="T401" s="53"/>
      <c r="U401" s="53">
        <v>3</v>
      </c>
      <c r="V401" s="53">
        <v>480</v>
      </c>
      <c r="W401" s="53"/>
      <c r="X401" s="53"/>
      <c r="Y401" s="53"/>
      <c r="Z401" s="53"/>
      <c r="AA401" s="53"/>
      <c r="AB401" s="53"/>
      <c r="AC401" s="137" t="s">
        <v>110</v>
      </c>
      <c r="AD401" s="138" t="s">
        <v>111</v>
      </c>
      <c r="AE401" s="83">
        <v>8760</v>
      </c>
      <c r="AF401" s="139">
        <v>1</v>
      </c>
      <c r="AG401" s="179">
        <v>1</v>
      </c>
      <c r="AH401" s="139">
        <v>1</v>
      </c>
      <c r="AI401" s="139">
        <v>1</v>
      </c>
      <c r="AJ401" s="83">
        <f t="shared" si="71"/>
        <v>3504</v>
      </c>
      <c r="AK401" s="83">
        <f t="shared" si="72"/>
        <v>5256</v>
      </c>
      <c r="AL401" s="104">
        <f t="shared" si="73"/>
        <v>16.395604395604394</v>
      </c>
      <c r="AM401" s="104">
        <f t="shared" si="74"/>
        <v>16.395604395604394</v>
      </c>
      <c r="AN401" s="83">
        <f t="shared" si="75"/>
        <v>57450.197802197799</v>
      </c>
      <c r="AO401" s="83">
        <f t="shared" si="76"/>
        <v>86175.296703296699</v>
      </c>
      <c r="AP401" s="83">
        <f t="shared" si="77"/>
        <v>196.0281179287912</v>
      </c>
      <c r="AQ401" s="83">
        <f t="shared" si="78"/>
        <v>294.04217689318682</v>
      </c>
      <c r="AR401" s="85"/>
      <c r="AS401" s="85"/>
      <c r="AT401" s="53"/>
      <c r="AU401" s="53"/>
      <c r="AV401" s="53"/>
      <c r="AW401" s="53"/>
      <c r="AX401" s="53"/>
      <c r="AY401" s="53"/>
      <c r="AZ401" s="53"/>
      <c r="BA401" s="53"/>
      <c r="BB401" s="53"/>
      <c r="BC401" s="111">
        <f t="shared" si="79"/>
        <v>57450.197802197799</v>
      </c>
      <c r="BD401" s="111">
        <f t="shared" si="80"/>
        <v>86175.296703296699</v>
      </c>
    </row>
    <row r="402" spans="1:56" ht="15.75" x14ac:dyDescent="0.25">
      <c r="A402" s="53">
        <v>392</v>
      </c>
      <c r="B402" s="53"/>
      <c r="C402" s="53"/>
      <c r="D402" s="53" t="s">
        <v>135</v>
      </c>
      <c r="E402" s="53"/>
      <c r="F402" s="53"/>
      <c r="G402" s="53" t="s">
        <v>211</v>
      </c>
      <c r="H402" s="53" t="s">
        <v>248</v>
      </c>
      <c r="I402" s="85" t="s">
        <v>249</v>
      </c>
      <c r="J402" s="85" t="s">
        <v>343</v>
      </c>
      <c r="K402" s="85" t="s">
        <v>356</v>
      </c>
      <c r="L402" s="53" t="s">
        <v>216</v>
      </c>
      <c r="M402" s="53" t="s">
        <v>252</v>
      </c>
      <c r="N402" s="53"/>
      <c r="O402" s="85" t="s">
        <v>345</v>
      </c>
      <c r="P402" s="53">
        <v>1</v>
      </c>
      <c r="Q402" s="183">
        <v>25</v>
      </c>
      <c r="R402" s="84">
        <v>0.92400000000000004</v>
      </c>
      <c r="S402" s="53"/>
      <c r="T402" s="53"/>
      <c r="U402" s="53">
        <v>3</v>
      </c>
      <c r="V402" s="53">
        <v>480</v>
      </c>
      <c r="W402" s="53"/>
      <c r="X402" s="53"/>
      <c r="Y402" s="53"/>
      <c r="Z402" s="53"/>
      <c r="AA402" s="53"/>
      <c r="AB402" s="53"/>
      <c r="AC402" s="137" t="s">
        <v>110</v>
      </c>
      <c r="AD402" s="138" t="s">
        <v>111</v>
      </c>
      <c r="AE402" s="83">
        <v>8760</v>
      </c>
      <c r="AF402" s="139">
        <v>1</v>
      </c>
      <c r="AG402" s="179">
        <v>1</v>
      </c>
      <c r="AH402" s="139">
        <v>1</v>
      </c>
      <c r="AI402" s="139">
        <v>1</v>
      </c>
      <c r="AJ402" s="83">
        <f t="shared" si="71"/>
        <v>3504</v>
      </c>
      <c r="AK402" s="83">
        <f t="shared" si="72"/>
        <v>5256</v>
      </c>
      <c r="AL402" s="104">
        <f t="shared" si="73"/>
        <v>20.183982683982681</v>
      </c>
      <c r="AM402" s="104">
        <f t="shared" si="74"/>
        <v>20.183982683982681</v>
      </c>
      <c r="AN402" s="83">
        <f t="shared" si="75"/>
        <v>70724.675324675307</v>
      </c>
      <c r="AO402" s="83">
        <f t="shared" si="76"/>
        <v>106087.01298701297</v>
      </c>
      <c r="AP402" s="182">
        <f t="shared" si="77"/>
        <v>241.32249366233759</v>
      </c>
      <c r="AQ402" s="182">
        <f t="shared" si="78"/>
        <v>361.98374049350645</v>
      </c>
      <c r="AR402" s="85"/>
      <c r="AS402" s="85"/>
      <c r="AT402" s="53"/>
      <c r="AU402" s="53"/>
      <c r="AV402" s="53"/>
      <c r="AW402" s="53"/>
      <c r="AX402" s="53"/>
      <c r="AY402" s="53"/>
      <c r="AZ402" s="53"/>
      <c r="BA402" s="53"/>
      <c r="BB402" s="53"/>
      <c r="BC402" s="111">
        <f t="shared" si="79"/>
        <v>70724.675324675307</v>
      </c>
      <c r="BD402" s="111">
        <f t="shared" si="80"/>
        <v>106087.01298701297</v>
      </c>
    </row>
    <row r="403" spans="1:56" ht="15.75" x14ac:dyDescent="0.25">
      <c r="A403" s="53">
        <v>393</v>
      </c>
      <c r="B403" s="53"/>
      <c r="C403" s="53"/>
      <c r="D403" s="53" t="s">
        <v>135</v>
      </c>
      <c r="E403" s="53"/>
      <c r="F403" s="53"/>
      <c r="G403" s="53" t="s">
        <v>211</v>
      </c>
      <c r="H403" s="53" t="s">
        <v>248</v>
      </c>
      <c r="I403" s="85" t="s">
        <v>249</v>
      </c>
      <c r="J403" s="85" t="s">
        <v>343</v>
      </c>
      <c r="K403" s="85" t="s">
        <v>357</v>
      </c>
      <c r="L403" s="53" t="s">
        <v>216</v>
      </c>
      <c r="M403" s="53" t="s">
        <v>252</v>
      </c>
      <c r="N403" s="53"/>
      <c r="O403" s="85" t="s">
        <v>345</v>
      </c>
      <c r="P403" s="53">
        <v>1</v>
      </c>
      <c r="Q403" s="183">
        <v>25</v>
      </c>
      <c r="R403" s="84">
        <v>0.92400000000000004</v>
      </c>
      <c r="S403" s="53"/>
      <c r="T403" s="53"/>
      <c r="U403" s="53">
        <v>3</v>
      </c>
      <c r="V403" s="53">
        <v>480</v>
      </c>
      <c r="W403" s="53"/>
      <c r="X403" s="53"/>
      <c r="Y403" s="53"/>
      <c r="Z403" s="53"/>
      <c r="AA403" s="53"/>
      <c r="AB403" s="53"/>
      <c r="AC403" s="137" t="s">
        <v>110</v>
      </c>
      <c r="AD403" s="138" t="s">
        <v>111</v>
      </c>
      <c r="AE403" s="83">
        <v>8760</v>
      </c>
      <c r="AF403" s="139">
        <v>1</v>
      </c>
      <c r="AG403" s="179">
        <v>1</v>
      </c>
      <c r="AH403" s="139">
        <v>1</v>
      </c>
      <c r="AI403" s="139">
        <v>1</v>
      </c>
      <c r="AJ403" s="83">
        <f t="shared" si="71"/>
        <v>3504</v>
      </c>
      <c r="AK403" s="83">
        <f t="shared" si="72"/>
        <v>5256</v>
      </c>
      <c r="AL403" s="104">
        <f t="shared" si="73"/>
        <v>20.183982683982681</v>
      </c>
      <c r="AM403" s="104">
        <f t="shared" si="74"/>
        <v>20.183982683982681</v>
      </c>
      <c r="AN403" s="83">
        <f t="shared" si="75"/>
        <v>70724.675324675307</v>
      </c>
      <c r="AO403" s="83">
        <f t="shared" si="76"/>
        <v>106087.01298701297</v>
      </c>
      <c r="AP403" s="83">
        <f t="shared" si="77"/>
        <v>241.32249366233759</v>
      </c>
      <c r="AQ403" s="83">
        <f t="shared" si="78"/>
        <v>361.98374049350645</v>
      </c>
      <c r="AR403" s="85"/>
      <c r="AS403" s="85"/>
      <c r="AT403" s="53"/>
      <c r="AU403" s="53"/>
      <c r="AV403" s="53"/>
      <c r="AW403" s="53"/>
      <c r="AX403" s="53"/>
      <c r="AY403" s="53"/>
      <c r="AZ403" s="53"/>
      <c r="BA403" s="53"/>
      <c r="BB403" s="53"/>
      <c r="BC403" s="111">
        <f t="shared" si="79"/>
        <v>70724.675324675307</v>
      </c>
      <c r="BD403" s="111">
        <f t="shared" si="80"/>
        <v>106087.01298701297</v>
      </c>
    </row>
    <row r="404" spans="1:56" ht="15.75" x14ac:dyDescent="0.25">
      <c r="A404" s="53">
        <v>394</v>
      </c>
      <c r="B404" s="53"/>
      <c r="C404" s="53"/>
      <c r="D404" s="53" t="s">
        <v>135</v>
      </c>
      <c r="E404" s="53"/>
      <c r="F404" s="53"/>
      <c r="G404" s="53" t="s">
        <v>211</v>
      </c>
      <c r="H404" s="53" t="s">
        <v>248</v>
      </c>
      <c r="I404" s="85" t="s">
        <v>249</v>
      </c>
      <c r="J404" s="85" t="s">
        <v>343</v>
      </c>
      <c r="K404" s="85" t="s">
        <v>344</v>
      </c>
      <c r="L404" s="53" t="s">
        <v>216</v>
      </c>
      <c r="M404" s="53" t="s">
        <v>252</v>
      </c>
      <c r="N404" s="53"/>
      <c r="O404" s="85" t="s">
        <v>345</v>
      </c>
      <c r="P404" s="53">
        <v>1</v>
      </c>
      <c r="Q404" s="183">
        <v>25</v>
      </c>
      <c r="R404" s="84">
        <v>0.92400000000000004</v>
      </c>
      <c r="S404" s="53"/>
      <c r="T404" s="53"/>
      <c r="U404" s="53">
        <v>3</v>
      </c>
      <c r="V404" s="53">
        <v>480</v>
      </c>
      <c r="W404" s="53"/>
      <c r="X404" s="53"/>
      <c r="Y404" s="53"/>
      <c r="Z404" s="53"/>
      <c r="AA404" s="53"/>
      <c r="AB404" s="53"/>
      <c r="AC404" s="137" t="s">
        <v>110</v>
      </c>
      <c r="AD404" s="138" t="s">
        <v>111</v>
      </c>
      <c r="AE404" s="83">
        <v>8760</v>
      </c>
      <c r="AF404" s="139">
        <v>1</v>
      </c>
      <c r="AG404" s="179">
        <v>1</v>
      </c>
      <c r="AH404" s="139">
        <v>1</v>
      </c>
      <c r="AI404" s="139">
        <v>1</v>
      </c>
      <c r="AJ404" s="83">
        <f t="shared" si="71"/>
        <v>3504</v>
      </c>
      <c r="AK404" s="83">
        <f t="shared" si="72"/>
        <v>5256</v>
      </c>
      <c r="AL404" s="104">
        <f t="shared" si="73"/>
        <v>20.183982683982681</v>
      </c>
      <c r="AM404" s="104">
        <f t="shared" si="74"/>
        <v>20.183982683982681</v>
      </c>
      <c r="AN404" s="83">
        <f t="shared" si="75"/>
        <v>70724.675324675307</v>
      </c>
      <c r="AO404" s="83">
        <f t="shared" si="76"/>
        <v>106087.01298701297</v>
      </c>
      <c r="AP404" s="182">
        <f t="shared" si="77"/>
        <v>241.32249366233759</v>
      </c>
      <c r="AQ404" s="182">
        <f t="shared" si="78"/>
        <v>361.98374049350645</v>
      </c>
      <c r="AR404" s="85"/>
      <c r="AS404" s="85"/>
      <c r="AT404" s="53"/>
      <c r="AU404" s="53"/>
      <c r="AV404" s="53"/>
      <c r="AW404" s="53"/>
      <c r="AX404" s="53"/>
      <c r="AY404" s="53"/>
      <c r="AZ404" s="53"/>
      <c r="BA404" s="53"/>
      <c r="BB404" s="53"/>
      <c r="BC404" s="111">
        <f t="shared" si="79"/>
        <v>70724.675324675307</v>
      </c>
      <c r="BD404" s="111">
        <f t="shared" si="80"/>
        <v>106087.01298701297</v>
      </c>
    </row>
    <row r="405" spans="1:56" ht="15.75" x14ac:dyDescent="0.25">
      <c r="A405" s="53">
        <v>395</v>
      </c>
      <c r="B405" s="53"/>
      <c r="C405" s="53"/>
      <c r="D405" s="53" t="s">
        <v>135</v>
      </c>
      <c r="E405" s="53"/>
      <c r="F405" s="53"/>
      <c r="G405" s="53" t="s">
        <v>211</v>
      </c>
      <c r="H405" s="53" t="s">
        <v>248</v>
      </c>
      <c r="I405" s="85" t="s">
        <v>249</v>
      </c>
      <c r="J405" s="85" t="s">
        <v>271</v>
      </c>
      <c r="K405" s="85" t="s">
        <v>272</v>
      </c>
      <c r="L405" s="53" t="s">
        <v>216</v>
      </c>
      <c r="M405" s="53" t="s">
        <v>252</v>
      </c>
      <c r="N405" s="53"/>
      <c r="O405" s="85" t="s">
        <v>273</v>
      </c>
      <c r="P405" s="53">
        <v>1</v>
      </c>
      <c r="Q405" s="183">
        <v>125</v>
      </c>
      <c r="R405" s="84">
        <v>0.94499999999999995</v>
      </c>
      <c r="S405" s="53"/>
      <c r="T405" s="53"/>
      <c r="U405" s="53">
        <v>3</v>
      </c>
      <c r="V405" s="53">
        <v>480</v>
      </c>
      <c r="W405" s="53"/>
      <c r="X405" s="53"/>
      <c r="Y405" s="53"/>
      <c r="Z405" s="53"/>
      <c r="AA405" s="53"/>
      <c r="AB405" s="53"/>
      <c r="AC405" s="137" t="s">
        <v>110</v>
      </c>
      <c r="AD405" s="138" t="s">
        <v>111</v>
      </c>
      <c r="AE405" s="83">
        <v>8760</v>
      </c>
      <c r="AF405" s="139">
        <v>1</v>
      </c>
      <c r="AG405" s="179">
        <v>1</v>
      </c>
      <c r="AH405" s="139">
        <v>1</v>
      </c>
      <c r="AI405" s="139">
        <v>1</v>
      </c>
      <c r="AJ405" s="83">
        <f t="shared" si="71"/>
        <v>3504</v>
      </c>
      <c r="AK405" s="83">
        <f t="shared" si="72"/>
        <v>5256</v>
      </c>
      <c r="AL405" s="104">
        <f t="shared" si="73"/>
        <v>98.677248677248684</v>
      </c>
      <c r="AM405" s="104">
        <f t="shared" si="74"/>
        <v>98.677248677248684</v>
      </c>
      <c r="AN405" s="83">
        <f t="shared" si="75"/>
        <v>345765.07936507941</v>
      </c>
      <c r="AO405" s="83">
        <f t="shared" si="76"/>
        <v>518647.61904761911</v>
      </c>
      <c r="AP405" s="83">
        <f t="shared" si="77"/>
        <v>1179.7988579047619</v>
      </c>
      <c r="AQ405" s="83">
        <f t="shared" si="78"/>
        <v>1769.6982868571429</v>
      </c>
      <c r="AR405" s="85"/>
      <c r="AS405" s="85"/>
      <c r="AT405" s="53"/>
      <c r="AU405" s="53"/>
      <c r="AV405" s="53"/>
      <c r="AW405" s="53"/>
      <c r="AX405" s="53"/>
      <c r="AY405" s="53"/>
      <c r="AZ405" s="53"/>
      <c r="BA405" s="53"/>
      <c r="BB405" s="53"/>
      <c r="BC405" s="111">
        <f t="shared" si="79"/>
        <v>345765.07936507941</v>
      </c>
      <c r="BD405" s="111">
        <f t="shared" si="80"/>
        <v>518647.61904761911</v>
      </c>
    </row>
    <row r="406" spans="1:56" ht="15.75" x14ac:dyDescent="0.25">
      <c r="A406" s="53">
        <v>396</v>
      </c>
      <c r="B406" s="53"/>
      <c r="C406" s="53"/>
      <c r="D406" s="53" t="s">
        <v>135</v>
      </c>
      <c r="E406" s="53"/>
      <c r="F406" s="53"/>
      <c r="G406" s="53" t="s">
        <v>211</v>
      </c>
      <c r="H406" s="53" t="s">
        <v>248</v>
      </c>
      <c r="I406" s="85" t="s">
        <v>249</v>
      </c>
      <c r="J406" s="85" t="s">
        <v>271</v>
      </c>
      <c r="K406" s="85" t="s">
        <v>274</v>
      </c>
      <c r="L406" s="53" t="s">
        <v>216</v>
      </c>
      <c r="M406" s="53" t="s">
        <v>252</v>
      </c>
      <c r="N406" s="53"/>
      <c r="O406" s="85" t="s">
        <v>273</v>
      </c>
      <c r="P406" s="53">
        <v>1</v>
      </c>
      <c r="Q406" s="183">
        <v>125</v>
      </c>
      <c r="R406" s="84">
        <v>0.94499999999999995</v>
      </c>
      <c r="S406" s="53"/>
      <c r="T406" s="53"/>
      <c r="U406" s="53">
        <v>3</v>
      </c>
      <c r="V406" s="53">
        <v>480</v>
      </c>
      <c r="W406" s="53"/>
      <c r="X406" s="53"/>
      <c r="Y406" s="53"/>
      <c r="Z406" s="53"/>
      <c r="AA406" s="53"/>
      <c r="AB406" s="53"/>
      <c r="AC406" s="137" t="s">
        <v>110</v>
      </c>
      <c r="AD406" s="138" t="s">
        <v>111</v>
      </c>
      <c r="AE406" s="83">
        <v>8760</v>
      </c>
      <c r="AF406" s="139">
        <v>1</v>
      </c>
      <c r="AG406" s="179">
        <v>1</v>
      </c>
      <c r="AH406" s="139">
        <v>1</v>
      </c>
      <c r="AI406" s="139">
        <v>1</v>
      </c>
      <c r="AJ406" s="83">
        <f t="shared" si="71"/>
        <v>3504</v>
      </c>
      <c r="AK406" s="83">
        <f t="shared" si="72"/>
        <v>5256</v>
      </c>
      <c r="AL406" s="104">
        <f t="shared" si="73"/>
        <v>98.677248677248684</v>
      </c>
      <c r="AM406" s="104">
        <f t="shared" si="74"/>
        <v>98.677248677248684</v>
      </c>
      <c r="AN406" s="83">
        <f t="shared" si="75"/>
        <v>345765.07936507941</v>
      </c>
      <c r="AO406" s="83">
        <f t="shared" si="76"/>
        <v>518647.61904761911</v>
      </c>
      <c r="AP406" s="182">
        <f t="shared" si="77"/>
        <v>1179.7988579047619</v>
      </c>
      <c r="AQ406" s="182">
        <f t="shared" si="78"/>
        <v>1769.6982868571429</v>
      </c>
      <c r="AR406" s="85"/>
      <c r="AS406" s="85"/>
      <c r="AT406" s="53"/>
      <c r="AU406" s="53"/>
      <c r="AV406" s="53"/>
      <c r="AW406" s="53"/>
      <c r="AX406" s="53"/>
      <c r="AY406" s="53"/>
      <c r="AZ406" s="53"/>
      <c r="BA406" s="53"/>
      <c r="BB406" s="53"/>
      <c r="BC406" s="111">
        <f t="shared" si="79"/>
        <v>345765.07936507941</v>
      </c>
      <c r="BD406" s="111">
        <f t="shared" si="80"/>
        <v>518647.61904761911</v>
      </c>
    </row>
    <row r="407" spans="1:56" ht="15.75" x14ac:dyDescent="0.25">
      <c r="A407" s="53">
        <v>397</v>
      </c>
      <c r="B407" s="53"/>
      <c r="C407" s="53"/>
      <c r="D407" s="53" t="s">
        <v>135</v>
      </c>
      <c r="E407" s="53"/>
      <c r="F407" s="53"/>
      <c r="G407" s="53" t="s">
        <v>211</v>
      </c>
      <c r="H407" s="53" t="s">
        <v>248</v>
      </c>
      <c r="I407" s="85" t="s">
        <v>249</v>
      </c>
      <c r="J407" s="85" t="s">
        <v>271</v>
      </c>
      <c r="K407" s="85" t="s">
        <v>275</v>
      </c>
      <c r="L407" s="53" t="s">
        <v>216</v>
      </c>
      <c r="M407" s="53" t="s">
        <v>252</v>
      </c>
      <c r="N407" s="53"/>
      <c r="O407" s="85" t="s">
        <v>273</v>
      </c>
      <c r="P407" s="53">
        <v>1</v>
      </c>
      <c r="Q407" s="183">
        <v>125</v>
      </c>
      <c r="R407" s="84">
        <v>0.94499999999999995</v>
      </c>
      <c r="S407" s="53"/>
      <c r="T407" s="53"/>
      <c r="U407" s="53">
        <v>3</v>
      </c>
      <c r="V407" s="53">
        <v>480</v>
      </c>
      <c r="W407" s="53"/>
      <c r="X407" s="53"/>
      <c r="Y407" s="53"/>
      <c r="Z407" s="53"/>
      <c r="AA407" s="53"/>
      <c r="AB407" s="53"/>
      <c r="AC407" s="137" t="s">
        <v>110</v>
      </c>
      <c r="AD407" s="138" t="s">
        <v>111</v>
      </c>
      <c r="AE407" s="83">
        <v>8760</v>
      </c>
      <c r="AF407" s="139">
        <v>1</v>
      </c>
      <c r="AG407" s="179">
        <v>1</v>
      </c>
      <c r="AH407" s="139">
        <v>1</v>
      </c>
      <c r="AI407" s="139">
        <v>1</v>
      </c>
      <c r="AJ407" s="83">
        <f t="shared" si="71"/>
        <v>3504</v>
      </c>
      <c r="AK407" s="83">
        <f t="shared" si="72"/>
        <v>5256</v>
      </c>
      <c r="AL407" s="104">
        <f t="shared" si="73"/>
        <v>98.677248677248684</v>
      </c>
      <c r="AM407" s="104">
        <f t="shared" si="74"/>
        <v>98.677248677248684</v>
      </c>
      <c r="AN407" s="83">
        <f t="shared" si="75"/>
        <v>345765.07936507941</v>
      </c>
      <c r="AO407" s="83">
        <f t="shared" si="76"/>
        <v>518647.61904761911</v>
      </c>
      <c r="AP407" s="83">
        <f t="shared" si="77"/>
        <v>1179.7988579047619</v>
      </c>
      <c r="AQ407" s="83">
        <f t="shared" si="78"/>
        <v>1769.6982868571429</v>
      </c>
      <c r="AR407" s="85"/>
      <c r="AS407" s="85"/>
      <c r="AT407" s="53"/>
      <c r="AU407" s="53"/>
      <c r="AV407" s="53"/>
      <c r="AW407" s="53"/>
      <c r="AX407" s="53"/>
      <c r="AY407" s="53"/>
      <c r="AZ407" s="53"/>
      <c r="BA407" s="53"/>
      <c r="BB407" s="53"/>
      <c r="BC407" s="111">
        <f t="shared" si="79"/>
        <v>345765.07936507941</v>
      </c>
      <c r="BD407" s="111">
        <f t="shared" si="80"/>
        <v>518647.61904761911</v>
      </c>
    </row>
    <row r="408" spans="1:56" ht="15.75" x14ac:dyDescent="0.25">
      <c r="A408" s="53">
        <v>398</v>
      </c>
      <c r="B408" s="53"/>
      <c r="C408" s="53"/>
      <c r="D408" s="53" t="s">
        <v>135</v>
      </c>
      <c r="E408" s="53"/>
      <c r="F408" s="53"/>
      <c r="G408" s="53" t="s">
        <v>211</v>
      </c>
      <c r="H408" s="53" t="s">
        <v>248</v>
      </c>
      <c r="I408" s="85" t="s">
        <v>249</v>
      </c>
      <c r="J408" s="85" t="s">
        <v>346</v>
      </c>
      <c r="K408" s="85" t="s">
        <v>347</v>
      </c>
      <c r="L408" s="53" t="s">
        <v>216</v>
      </c>
      <c r="M408" s="53" t="s">
        <v>252</v>
      </c>
      <c r="N408" s="53"/>
      <c r="O408" s="85" t="s">
        <v>345</v>
      </c>
      <c r="P408" s="53">
        <v>1</v>
      </c>
      <c r="Q408" s="183">
        <v>25</v>
      </c>
      <c r="R408" s="84">
        <v>0.92400000000000004</v>
      </c>
      <c r="S408" s="53"/>
      <c r="T408" s="53"/>
      <c r="U408" s="53">
        <v>3</v>
      </c>
      <c r="V408" s="53">
        <v>480</v>
      </c>
      <c r="W408" s="53"/>
      <c r="X408" s="53"/>
      <c r="Y408" s="53"/>
      <c r="Z408" s="53"/>
      <c r="AA408" s="53"/>
      <c r="AB408" s="53"/>
      <c r="AC408" s="137" t="s">
        <v>110</v>
      </c>
      <c r="AD408" s="138" t="s">
        <v>111</v>
      </c>
      <c r="AE408" s="83">
        <v>8760</v>
      </c>
      <c r="AF408" s="139">
        <v>1</v>
      </c>
      <c r="AG408" s="179">
        <v>1</v>
      </c>
      <c r="AH408" s="139">
        <v>1</v>
      </c>
      <c r="AI408" s="139">
        <v>1</v>
      </c>
      <c r="AJ408" s="83">
        <f t="shared" si="71"/>
        <v>3504</v>
      </c>
      <c r="AK408" s="83">
        <f t="shared" si="72"/>
        <v>5256</v>
      </c>
      <c r="AL408" s="104">
        <f t="shared" si="73"/>
        <v>20.183982683982681</v>
      </c>
      <c r="AM408" s="104">
        <f t="shared" si="74"/>
        <v>20.183982683982681</v>
      </c>
      <c r="AN408" s="83">
        <f t="shared" si="75"/>
        <v>70724.675324675307</v>
      </c>
      <c r="AO408" s="83">
        <f t="shared" si="76"/>
        <v>106087.01298701297</v>
      </c>
      <c r="AP408" s="182">
        <f t="shared" si="77"/>
        <v>241.32249366233759</v>
      </c>
      <c r="AQ408" s="182">
        <f t="shared" si="78"/>
        <v>361.98374049350645</v>
      </c>
      <c r="AR408" s="85"/>
      <c r="AS408" s="85"/>
      <c r="AT408" s="53"/>
      <c r="AU408" s="53"/>
      <c r="AV408" s="53"/>
      <c r="AW408" s="53"/>
      <c r="AX408" s="53"/>
      <c r="AY408" s="53"/>
      <c r="AZ408" s="53"/>
      <c r="BA408" s="53"/>
      <c r="BB408" s="53"/>
      <c r="BC408" s="111">
        <f t="shared" si="79"/>
        <v>70724.675324675307</v>
      </c>
      <c r="BD408" s="111">
        <f t="shared" si="80"/>
        <v>106087.01298701297</v>
      </c>
    </row>
    <row r="409" spans="1:56" ht="15.75" x14ac:dyDescent="0.25">
      <c r="A409" s="53">
        <v>399</v>
      </c>
      <c r="B409" s="53"/>
      <c r="C409" s="53"/>
      <c r="D409" s="53" t="s">
        <v>135</v>
      </c>
      <c r="E409" s="53"/>
      <c r="F409" s="53"/>
      <c r="G409" s="53" t="s">
        <v>211</v>
      </c>
      <c r="H409" s="53" t="s">
        <v>248</v>
      </c>
      <c r="I409" s="85" t="s">
        <v>249</v>
      </c>
      <c r="J409" s="85" t="s">
        <v>346</v>
      </c>
      <c r="K409" s="85" t="s">
        <v>348</v>
      </c>
      <c r="L409" s="53" t="s">
        <v>216</v>
      </c>
      <c r="M409" s="53" t="s">
        <v>252</v>
      </c>
      <c r="N409" s="53"/>
      <c r="O409" s="85" t="s">
        <v>345</v>
      </c>
      <c r="P409" s="53">
        <v>1</v>
      </c>
      <c r="Q409" s="183">
        <v>25</v>
      </c>
      <c r="R409" s="84">
        <v>0.92400000000000004</v>
      </c>
      <c r="S409" s="53"/>
      <c r="T409" s="53"/>
      <c r="U409" s="53">
        <v>3</v>
      </c>
      <c r="V409" s="53">
        <v>480</v>
      </c>
      <c r="W409" s="53"/>
      <c r="X409" s="53"/>
      <c r="Y409" s="53"/>
      <c r="Z409" s="53"/>
      <c r="AA409" s="53"/>
      <c r="AB409" s="53"/>
      <c r="AC409" s="137" t="s">
        <v>110</v>
      </c>
      <c r="AD409" s="138" t="s">
        <v>111</v>
      </c>
      <c r="AE409" s="83">
        <v>8760</v>
      </c>
      <c r="AF409" s="139">
        <v>1</v>
      </c>
      <c r="AG409" s="179">
        <v>1</v>
      </c>
      <c r="AH409" s="139">
        <v>1</v>
      </c>
      <c r="AI409" s="139">
        <v>1</v>
      </c>
      <c r="AJ409" s="83">
        <f t="shared" si="71"/>
        <v>3504</v>
      </c>
      <c r="AK409" s="83">
        <f t="shared" si="72"/>
        <v>5256</v>
      </c>
      <c r="AL409" s="104">
        <f t="shared" si="73"/>
        <v>20.183982683982681</v>
      </c>
      <c r="AM409" s="104">
        <f t="shared" si="74"/>
        <v>20.183982683982681</v>
      </c>
      <c r="AN409" s="83">
        <f t="shared" si="75"/>
        <v>70724.675324675307</v>
      </c>
      <c r="AO409" s="83">
        <f t="shared" si="76"/>
        <v>106087.01298701297</v>
      </c>
      <c r="AP409" s="83">
        <f t="shared" si="77"/>
        <v>241.32249366233759</v>
      </c>
      <c r="AQ409" s="83">
        <f t="shared" si="78"/>
        <v>361.98374049350645</v>
      </c>
      <c r="AR409" s="85"/>
      <c r="AS409" s="85"/>
      <c r="AT409" s="53"/>
      <c r="AU409" s="53"/>
      <c r="AV409" s="53"/>
      <c r="AW409" s="53"/>
      <c r="AX409" s="53"/>
      <c r="AY409" s="53"/>
      <c r="AZ409" s="53"/>
      <c r="BA409" s="53"/>
      <c r="BB409" s="53"/>
      <c r="BC409" s="111">
        <f t="shared" si="79"/>
        <v>70724.675324675307</v>
      </c>
      <c r="BD409" s="111">
        <f t="shared" si="80"/>
        <v>106087.01298701297</v>
      </c>
    </row>
    <row r="410" spans="1:56" ht="15.75" x14ac:dyDescent="0.25">
      <c r="A410" s="53">
        <v>400</v>
      </c>
      <c r="B410" s="53"/>
      <c r="C410" s="53"/>
      <c r="D410" s="53" t="s">
        <v>135</v>
      </c>
      <c r="E410" s="53"/>
      <c r="F410" s="53"/>
      <c r="G410" s="53" t="s">
        <v>211</v>
      </c>
      <c r="H410" s="53" t="s">
        <v>248</v>
      </c>
      <c r="I410" s="85" t="s">
        <v>249</v>
      </c>
      <c r="J410" s="85" t="s">
        <v>346</v>
      </c>
      <c r="K410" s="85" t="s">
        <v>349</v>
      </c>
      <c r="L410" s="53" t="s">
        <v>216</v>
      </c>
      <c r="M410" s="53" t="s">
        <v>252</v>
      </c>
      <c r="N410" s="53"/>
      <c r="O410" s="85" t="s">
        <v>345</v>
      </c>
      <c r="P410" s="53">
        <v>1</v>
      </c>
      <c r="Q410" s="183">
        <v>25</v>
      </c>
      <c r="R410" s="84">
        <v>0.92400000000000004</v>
      </c>
      <c r="S410" s="53"/>
      <c r="T410" s="53"/>
      <c r="U410" s="53">
        <v>3</v>
      </c>
      <c r="V410" s="53">
        <v>480</v>
      </c>
      <c r="W410" s="53"/>
      <c r="X410" s="53"/>
      <c r="Y410" s="53"/>
      <c r="Z410" s="53"/>
      <c r="AA410" s="53"/>
      <c r="AB410" s="53"/>
      <c r="AC410" s="137" t="s">
        <v>110</v>
      </c>
      <c r="AD410" s="138" t="s">
        <v>111</v>
      </c>
      <c r="AE410" s="83">
        <v>8760</v>
      </c>
      <c r="AF410" s="139">
        <v>1</v>
      </c>
      <c r="AG410" s="179">
        <v>1</v>
      </c>
      <c r="AH410" s="139">
        <v>1</v>
      </c>
      <c r="AI410" s="139">
        <v>1</v>
      </c>
      <c r="AJ410" s="83">
        <f t="shared" si="71"/>
        <v>3504</v>
      </c>
      <c r="AK410" s="83">
        <f t="shared" si="72"/>
        <v>5256</v>
      </c>
      <c r="AL410" s="104">
        <f t="shared" si="73"/>
        <v>20.183982683982681</v>
      </c>
      <c r="AM410" s="104">
        <f t="shared" si="74"/>
        <v>20.183982683982681</v>
      </c>
      <c r="AN410" s="83">
        <f t="shared" si="75"/>
        <v>70724.675324675307</v>
      </c>
      <c r="AO410" s="83">
        <f t="shared" si="76"/>
        <v>106087.01298701297</v>
      </c>
      <c r="AP410" s="182">
        <f t="shared" si="77"/>
        <v>241.32249366233759</v>
      </c>
      <c r="AQ410" s="182">
        <f t="shared" si="78"/>
        <v>361.98374049350645</v>
      </c>
      <c r="AR410" s="85"/>
      <c r="AS410" s="85"/>
      <c r="AT410" s="53"/>
      <c r="AU410" s="53"/>
      <c r="AV410" s="53"/>
      <c r="AW410" s="53"/>
      <c r="AX410" s="53"/>
      <c r="AY410" s="53"/>
      <c r="AZ410" s="53"/>
      <c r="BA410" s="53"/>
      <c r="BB410" s="53"/>
      <c r="BC410" s="111">
        <f t="shared" si="79"/>
        <v>70724.675324675307</v>
      </c>
      <c r="BD410" s="111">
        <f t="shared" si="80"/>
        <v>106087.01298701297</v>
      </c>
    </row>
    <row r="411" spans="1:56" ht="15.75" x14ac:dyDescent="0.25">
      <c r="A411" s="53">
        <v>401</v>
      </c>
      <c r="B411" s="53"/>
      <c r="C411" s="53"/>
      <c r="D411" s="53" t="s">
        <v>135</v>
      </c>
      <c r="E411" s="53"/>
      <c r="F411" s="53"/>
      <c r="G411" s="53" t="s">
        <v>211</v>
      </c>
      <c r="H411" s="53" t="s">
        <v>248</v>
      </c>
      <c r="I411" s="85" t="s">
        <v>249</v>
      </c>
      <c r="J411" s="85" t="s">
        <v>346</v>
      </c>
      <c r="K411" s="85" t="s">
        <v>350</v>
      </c>
      <c r="L411" s="53" t="s">
        <v>216</v>
      </c>
      <c r="M411" s="53" t="s">
        <v>252</v>
      </c>
      <c r="N411" s="53"/>
      <c r="O411" s="85" t="s">
        <v>345</v>
      </c>
      <c r="P411" s="53">
        <v>1</v>
      </c>
      <c r="Q411" s="183">
        <v>25</v>
      </c>
      <c r="R411" s="84">
        <v>0.92400000000000004</v>
      </c>
      <c r="S411" s="53"/>
      <c r="T411" s="53"/>
      <c r="U411" s="53">
        <v>3</v>
      </c>
      <c r="V411" s="53">
        <v>480</v>
      </c>
      <c r="W411" s="53"/>
      <c r="X411" s="53"/>
      <c r="Y411" s="53"/>
      <c r="Z411" s="53"/>
      <c r="AA411" s="53"/>
      <c r="AB411" s="53"/>
      <c r="AC411" s="137" t="s">
        <v>110</v>
      </c>
      <c r="AD411" s="138" t="s">
        <v>111</v>
      </c>
      <c r="AE411" s="83">
        <v>8760</v>
      </c>
      <c r="AF411" s="139">
        <v>1</v>
      </c>
      <c r="AG411" s="179">
        <v>1</v>
      </c>
      <c r="AH411" s="139">
        <v>1</v>
      </c>
      <c r="AI411" s="139">
        <v>1</v>
      </c>
      <c r="AJ411" s="83">
        <f t="shared" si="71"/>
        <v>3504</v>
      </c>
      <c r="AK411" s="83">
        <f t="shared" si="72"/>
        <v>5256</v>
      </c>
      <c r="AL411" s="104">
        <f t="shared" si="73"/>
        <v>20.183982683982681</v>
      </c>
      <c r="AM411" s="104">
        <f t="shared" si="74"/>
        <v>20.183982683982681</v>
      </c>
      <c r="AN411" s="83">
        <f t="shared" si="75"/>
        <v>70724.675324675307</v>
      </c>
      <c r="AO411" s="83">
        <f t="shared" si="76"/>
        <v>106087.01298701297</v>
      </c>
      <c r="AP411" s="83">
        <f t="shared" si="77"/>
        <v>241.32249366233759</v>
      </c>
      <c r="AQ411" s="83">
        <f t="shared" si="78"/>
        <v>361.98374049350645</v>
      </c>
      <c r="AR411" s="85"/>
      <c r="AS411" s="85"/>
      <c r="AT411" s="53"/>
      <c r="AU411" s="53"/>
      <c r="AV411" s="53"/>
      <c r="AW411" s="53"/>
      <c r="AX411" s="53"/>
      <c r="AY411" s="53"/>
      <c r="AZ411" s="53"/>
      <c r="BA411" s="53"/>
      <c r="BB411" s="53"/>
      <c r="BC411" s="111">
        <f t="shared" si="79"/>
        <v>70724.675324675307</v>
      </c>
      <c r="BD411" s="111">
        <f t="shared" si="80"/>
        <v>106087.01298701297</v>
      </c>
    </row>
    <row r="412" spans="1:56" ht="15.75" x14ac:dyDescent="0.25">
      <c r="A412" s="53">
        <v>402</v>
      </c>
      <c r="B412" s="53"/>
      <c r="C412" s="53"/>
      <c r="D412" s="53" t="s">
        <v>135</v>
      </c>
      <c r="E412" s="53"/>
      <c r="F412" s="53"/>
      <c r="G412" s="53" t="s">
        <v>211</v>
      </c>
      <c r="H412" s="53" t="s">
        <v>248</v>
      </c>
      <c r="I412" s="85" t="s">
        <v>249</v>
      </c>
      <c r="J412" s="85" t="s">
        <v>262</v>
      </c>
      <c r="K412" s="85" t="s">
        <v>263</v>
      </c>
      <c r="L412" s="53" t="s">
        <v>216</v>
      </c>
      <c r="M412" s="53" t="s">
        <v>252</v>
      </c>
      <c r="N412" s="53"/>
      <c r="O412" s="85" t="s">
        <v>264</v>
      </c>
      <c r="P412" s="53">
        <v>1</v>
      </c>
      <c r="Q412" s="183">
        <v>150</v>
      </c>
      <c r="R412" s="84">
        <v>0.95</v>
      </c>
      <c r="S412" s="53"/>
      <c r="T412" s="53"/>
      <c r="U412" s="53">
        <v>3</v>
      </c>
      <c r="V412" s="53">
        <v>480</v>
      </c>
      <c r="W412" s="53"/>
      <c r="X412" s="53"/>
      <c r="Y412" s="53"/>
      <c r="Z412" s="53"/>
      <c r="AA412" s="53"/>
      <c r="AB412" s="53"/>
      <c r="AC412" s="137" t="s">
        <v>110</v>
      </c>
      <c r="AD412" s="138" t="s">
        <v>111</v>
      </c>
      <c r="AE412" s="83">
        <v>8760</v>
      </c>
      <c r="AF412" s="139">
        <v>1</v>
      </c>
      <c r="AG412" s="179">
        <v>1</v>
      </c>
      <c r="AH412" s="179">
        <v>0.1</v>
      </c>
      <c r="AI412" s="179">
        <v>0.5</v>
      </c>
      <c r="AJ412" s="83">
        <f t="shared" si="71"/>
        <v>3504</v>
      </c>
      <c r="AK412" s="83">
        <f t="shared" si="72"/>
        <v>5256</v>
      </c>
      <c r="AL412" s="104">
        <f t="shared" si="73"/>
        <v>11.778947368421054</v>
      </c>
      <c r="AM412" s="104">
        <f t="shared" si="74"/>
        <v>58.894736842105267</v>
      </c>
      <c r="AN412" s="83">
        <f t="shared" si="75"/>
        <v>41273.431578947377</v>
      </c>
      <c r="AO412" s="83">
        <f t="shared" si="76"/>
        <v>309550.73684210528</v>
      </c>
      <c r="AP412" s="182">
        <f t="shared" si="77"/>
        <v>140.83072682778948</v>
      </c>
      <c r="AQ412" s="182">
        <f t="shared" si="78"/>
        <v>1056.2304512084211</v>
      </c>
      <c r="AR412" s="85"/>
      <c r="AS412" s="85"/>
      <c r="AT412" s="53"/>
      <c r="AU412" s="53"/>
      <c r="AV412" s="53"/>
      <c r="AW412" s="53"/>
      <c r="AX412" s="53"/>
      <c r="AY412" s="53"/>
      <c r="AZ412" s="53"/>
      <c r="BA412" s="53"/>
      <c r="BB412" s="53"/>
      <c r="BC412" s="111">
        <f t="shared" si="79"/>
        <v>41273.431578947377</v>
      </c>
      <c r="BD412" s="111">
        <f t="shared" si="80"/>
        <v>309550.73684210528</v>
      </c>
    </row>
    <row r="413" spans="1:56" ht="15.75" x14ac:dyDescent="0.25">
      <c r="A413" s="53">
        <v>403</v>
      </c>
      <c r="B413" s="53"/>
      <c r="C413" s="53"/>
      <c r="D413" s="53" t="s">
        <v>135</v>
      </c>
      <c r="E413" s="53"/>
      <c r="F413" s="53"/>
      <c r="G413" s="53" t="s">
        <v>211</v>
      </c>
      <c r="H413" s="53" t="s">
        <v>248</v>
      </c>
      <c r="I413" s="85" t="s">
        <v>249</v>
      </c>
      <c r="J413" s="85" t="s">
        <v>262</v>
      </c>
      <c r="K413" s="85" t="s">
        <v>265</v>
      </c>
      <c r="L413" s="53" t="s">
        <v>216</v>
      </c>
      <c r="M413" s="53" t="s">
        <v>252</v>
      </c>
      <c r="N413" s="53"/>
      <c r="O413" s="85" t="s">
        <v>264</v>
      </c>
      <c r="P413" s="53">
        <v>1</v>
      </c>
      <c r="Q413" s="183">
        <v>150</v>
      </c>
      <c r="R413" s="84">
        <v>0.95</v>
      </c>
      <c r="S413" s="53"/>
      <c r="T413" s="53"/>
      <c r="U413" s="53">
        <v>3</v>
      </c>
      <c r="V413" s="53">
        <v>480</v>
      </c>
      <c r="W413" s="53"/>
      <c r="X413" s="53"/>
      <c r="Y413" s="53"/>
      <c r="Z413" s="53"/>
      <c r="AA413" s="53"/>
      <c r="AB413" s="53"/>
      <c r="AC413" s="137" t="s">
        <v>110</v>
      </c>
      <c r="AD413" s="138" t="s">
        <v>111</v>
      </c>
      <c r="AE413" s="83">
        <v>8760</v>
      </c>
      <c r="AF413" s="139">
        <v>1</v>
      </c>
      <c r="AG413" s="179">
        <v>1</v>
      </c>
      <c r="AH413" s="179">
        <v>0.1</v>
      </c>
      <c r="AI413" s="179">
        <v>0.5</v>
      </c>
      <c r="AJ413" s="83">
        <f t="shared" si="71"/>
        <v>3504</v>
      </c>
      <c r="AK413" s="83">
        <f t="shared" si="72"/>
        <v>5256</v>
      </c>
      <c r="AL413" s="104">
        <f t="shared" si="73"/>
        <v>11.778947368421054</v>
      </c>
      <c r="AM413" s="104">
        <f t="shared" si="74"/>
        <v>58.894736842105267</v>
      </c>
      <c r="AN413" s="83">
        <f t="shared" si="75"/>
        <v>41273.431578947377</v>
      </c>
      <c r="AO413" s="83">
        <f t="shared" si="76"/>
        <v>309550.73684210528</v>
      </c>
      <c r="AP413" s="83">
        <f t="shared" si="77"/>
        <v>140.83072682778948</v>
      </c>
      <c r="AQ413" s="83">
        <f t="shared" si="78"/>
        <v>1056.2304512084211</v>
      </c>
      <c r="AR413" s="85"/>
      <c r="AS413" s="85"/>
      <c r="AT413" s="53"/>
      <c r="AU413" s="53"/>
      <c r="AV413" s="53"/>
      <c r="AW413" s="53"/>
      <c r="AX413" s="53"/>
      <c r="AY413" s="53"/>
      <c r="AZ413" s="53"/>
      <c r="BA413" s="53"/>
      <c r="BB413" s="53"/>
      <c r="BC413" s="111">
        <f t="shared" si="79"/>
        <v>41273.431578947377</v>
      </c>
      <c r="BD413" s="111">
        <f t="shared" si="80"/>
        <v>309550.73684210528</v>
      </c>
    </row>
    <row r="414" spans="1:56" ht="15.75" x14ac:dyDescent="0.25">
      <c r="A414" s="53">
        <v>404</v>
      </c>
      <c r="B414" s="53"/>
      <c r="C414" s="53"/>
      <c r="D414" s="53" t="s">
        <v>135</v>
      </c>
      <c r="E414" s="53"/>
      <c r="F414" s="53"/>
      <c r="G414" s="53" t="s">
        <v>211</v>
      </c>
      <c r="H414" s="53" t="s">
        <v>248</v>
      </c>
      <c r="I414" s="85" t="s">
        <v>249</v>
      </c>
      <c r="J414" s="85" t="s">
        <v>250</v>
      </c>
      <c r="K414" s="85" t="s">
        <v>251</v>
      </c>
      <c r="L414" s="53" t="s">
        <v>216</v>
      </c>
      <c r="M414" s="53" t="s">
        <v>252</v>
      </c>
      <c r="N414" s="53"/>
      <c r="O414" s="85" t="s">
        <v>253</v>
      </c>
      <c r="P414" s="53">
        <v>1</v>
      </c>
      <c r="Q414" s="183">
        <v>200</v>
      </c>
      <c r="R414" s="84">
        <v>0.95</v>
      </c>
      <c r="S414" s="53"/>
      <c r="T414" s="53"/>
      <c r="U414" s="53">
        <v>3</v>
      </c>
      <c r="V414" s="53">
        <v>480</v>
      </c>
      <c r="W414" s="53"/>
      <c r="X414" s="53"/>
      <c r="Y414" s="53"/>
      <c r="Z414" s="53"/>
      <c r="AA414" s="53"/>
      <c r="AB414" s="53"/>
      <c r="AC414" s="137" t="s">
        <v>110</v>
      </c>
      <c r="AD414" s="138" t="s">
        <v>111</v>
      </c>
      <c r="AE414" s="83">
        <v>8760</v>
      </c>
      <c r="AF414" s="139">
        <v>1</v>
      </c>
      <c r="AG414" s="179">
        <v>1</v>
      </c>
      <c r="AH414" s="179">
        <v>0.1</v>
      </c>
      <c r="AI414" s="179">
        <v>0.5</v>
      </c>
      <c r="AJ414" s="83">
        <f t="shared" si="71"/>
        <v>3504</v>
      </c>
      <c r="AK414" s="83">
        <f t="shared" si="72"/>
        <v>5256</v>
      </c>
      <c r="AL414" s="104">
        <f t="shared" si="73"/>
        <v>15.705263157894738</v>
      </c>
      <c r="AM414" s="104">
        <f t="shared" si="74"/>
        <v>78.526315789473685</v>
      </c>
      <c r="AN414" s="83">
        <f t="shared" si="75"/>
        <v>55031.242105263162</v>
      </c>
      <c r="AO414" s="83">
        <f t="shared" si="76"/>
        <v>412734.31578947371</v>
      </c>
      <c r="AP414" s="182">
        <f t="shared" si="77"/>
        <v>187.77430243705263</v>
      </c>
      <c r="AQ414" s="182">
        <f t="shared" si="78"/>
        <v>1408.3072682778948</v>
      </c>
      <c r="AR414" s="85"/>
      <c r="AS414" s="85"/>
      <c r="AT414" s="53"/>
      <c r="AU414" s="53"/>
      <c r="AV414" s="53"/>
      <c r="AW414" s="53"/>
      <c r="AX414" s="53"/>
      <c r="AY414" s="53"/>
      <c r="AZ414" s="53"/>
      <c r="BA414" s="53"/>
      <c r="BB414" s="53"/>
      <c r="BC414" s="111">
        <f t="shared" si="79"/>
        <v>55031.242105263162</v>
      </c>
      <c r="BD414" s="111">
        <f t="shared" si="80"/>
        <v>412734.31578947371</v>
      </c>
    </row>
    <row r="415" spans="1:56" ht="15.75" x14ac:dyDescent="0.25">
      <c r="A415" s="53">
        <v>405</v>
      </c>
      <c r="B415" s="53"/>
      <c r="C415" s="53"/>
      <c r="D415" s="53" t="s">
        <v>135</v>
      </c>
      <c r="E415" s="53"/>
      <c r="F415" s="53"/>
      <c r="G415" s="53" t="s">
        <v>211</v>
      </c>
      <c r="H415" s="53" t="s">
        <v>248</v>
      </c>
      <c r="I415" s="85" t="s">
        <v>249</v>
      </c>
      <c r="J415" s="85" t="s">
        <v>250</v>
      </c>
      <c r="K415" s="85" t="s">
        <v>254</v>
      </c>
      <c r="L415" s="53" t="s">
        <v>216</v>
      </c>
      <c r="M415" s="53" t="s">
        <v>252</v>
      </c>
      <c r="N415" s="53"/>
      <c r="O415" s="85" t="s">
        <v>253</v>
      </c>
      <c r="P415" s="53">
        <v>1</v>
      </c>
      <c r="Q415" s="183">
        <v>200</v>
      </c>
      <c r="R415" s="84">
        <v>0.95</v>
      </c>
      <c r="S415" s="53"/>
      <c r="T415" s="53"/>
      <c r="U415" s="53">
        <v>3</v>
      </c>
      <c r="V415" s="53">
        <v>480</v>
      </c>
      <c r="W415" s="53"/>
      <c r="X415" s="53"/>
      <c r="Y415" s="53"/>
      <c r="Z415" s="53"/>
      <c r="AA415" s="53"/>
      <c r="AB415" s="53"/>
      <c r="AC415" s="137" t="s">
        <v>110</v>
      </c>
      <c r="AD415" s="138" t="s">
        <v>111</v>
      </c>
      <c r="AE415" s="83">
        <v>8760</v>
      </c>
      <c r="AF415" s="139">
        <v>1</v>
      </c>
      <c r="AG415" s="179">
        <v>1</v>
      </c>
      <c r="AH415" s="179">
        <v>0.1</v>
      </c>
      <c r="AI415" s="179">
        <v>0.5</v>
      </c>
      <c r="AJ415" s="83">
        <f t="shared" si="71"/>
        <v>3504</v>
      </c>
      <c r="AK415" s="83">
        <f t="shared" si="72"/>
        <v>5256</v>
      </c>
      <c r="AL415" s="104">
        <f t="shared" si="73"/>
        <v>15.705263157894738</v>
      </c>
      <c r="AM415" s="104">
        <f t="shared" si="74"/>
        <v>78.526315789473685</v>
      </c>
      <c r="AN415" s="83">
        <f t="shared" si="75"/>
        <v>55031.242105263162</v>
      </c>
      <c r="AO415" s="83">
        <f t="shared" si="76"/>
        <v>412734.31578947371</v>
      </c>
      <c r="AP415" s="83">
        <f t="shared" si="77"/>
        <v>187.77430243705263</v>
      </c>
      <c r="AQ415" s="83">
        <f t="shared" si="78"/>
        <v>1408.3072682778948</v>
      </c>
      <c r="AR415" s="85"/>
      <c r="AS415" s="85"/>
      <c r="AT415" s="53"/>
      <c r="AU415" s="53"/>
      <c r="AV415" s="53"/>
      <c r="AW415" s="53"/>
      <c r="AX415" s="53"/>
      <c r="AY415" s="53"/>
      <c r="AZ415" s="53"/>
      <c r="BA415" s="53"/>
      <c r="BB415" s="53"/>
      <c r="BC415" s="111">
        <f t="shared" si="79"/>
        <v>55031.242105263162</v>
      </c>
      <c r="BD415" s="111">
        <f t="shared" si="80"/>
        <v>412734.31578947371</v>
      </c>
    </row>
    <row r="416" spans="1:56" ht="15.75" x14ac:dyDescent="0.25">
      <c r="A416" s="53">
        <v>406</v>
      </c>
      <c r="B416" s="53"/>
      <c r="C416" s="53"/>
      <c r="D416" s="53" t="s">
        <v>135</v>
      </c>
      <c r="E416" s="53"/>
      <c r="F416" s="53"/>
      <c r="G416" s="53" t="s">
        <v>211</v>
      </c>
      <c r="H416" s="53" t="s">
        <v>248</v>
      </c>
      <c r="I416" s="85" t="s">
        <v>249</v>
      </c>
      <c r="J416" s="85" t="s">
        <v>466</v>
      </c>
      <c r="K416" s="85" t="s">
        <v>579</v>
      </c>
      <c r="L416" s="53" t="s">
        <v>216</v>
      </c>
      <c r="M416" s="53" t="s">
        <v>252</v>
      </c>
      <c r="N416" s="53"/>
      <c r="O416" s="85" t="s">
        <v>580</v>
      </c>
      <c r="P416" s="53">
        <v>1</v>
      </c>
      <c r="Q416" s="183">
        <v>5</v>
      </c>
      <c r="R416" s="84">
        <v>0.875</v>
      </c>
      <c r="S416" s="53"/>
      <c r="T416" s="53"/>
      <c r="U416" s="53">
        <v>3</v>
      </c>
      <c r="V416" s="53">
        <v>480</v>
      </c>
      <c r="W416" s="53"/>
      <c r="X416" s="53"/>
      <c r="Y416" s="53"/>
      <c r="Z416" s="53"/>
      <c r="AA416" s="53"/>
      <c r="AB416" s="53"/>
      <c r="AC416" s="137" t="s">
        <v>110</v>
      </c>
      <c r="AD416" s="138" t="s">
        <v>111</v>
      </c>
      <c r="AE416" s="83">
        <v>8760</v>
      </c>
      <c r="AF416" s="139">
        <v>1</v>
      </c>
      <c r="AG416" s="179">
        <v>1</v>
      </c>
      <c r="AH416" s="139">
        <v>1</v>
      </c>
      <c r="AI416" s="139">
        <v>1</v>
      </c>
      <c r="AJ416" s="83">
        <f t="shared" si="71"/>
        <v>3504</v>
      </c>
      <c r="AK416" s="83">
        <f t="shared" si="72"/>
        <v>5256</v>
      </c>
      <c r="AL416" s="104">
        <f t="shared" si="73"/>
        <v>4.2628571428571425</v>
      </c>
      <c r="AM416" s="104">
        <f t="shared" si="74"/>
        <v>4.2628571428571425</v>
      </c>
      <c r="AN416" s="83">
        <f t="shared" si="75"/>
        <v>14937.051428571427</v>
      </c>
      <c r="AO416" s="83">
        <f t="shared" si="76"/>
        <v>22405.577142857142</v>
      </c>
      <c r="AP416" s="182">
        <f t="shared" si="77"/>
        <v>50.967310661485712</v>
      </c>
      <c r="AQ416" s="182">
        <f t="shared" si="78"/>
        <v>76.450965992228561</v>
      </c>
      <c r="AR416" s="85"/>
      <c r="AS416" s="85"/>
      <c r="AT416" s="53"/>
      <c r="AU416" s="53"/>
      <c r="AV416" s="53"/>
      <c r="AW416" s="53"/>
      <c r="AX416" s="53"/>
      <c r="AY416" s="53"/>
      <c r="AZ416" s="53"/>
      <c r="BA416" s="53"/>
      <c r="BB416" s="53"/>
      <c r="BC416" s="111">
        <f t="shared" si="79"/>
        <v>14937.051428571427</v>
      </c>
      <c r="BD416" s="111">
        <f t="shared" si="80"/>
        <v>22405.577142857142</v>
      </c>
    </row>
    <row r="417" spans="1:56" ht="15.75" x14ac:dyDescent="0.25">
      <c r="A417" s="53">
        <v>407</v>
      </c>
      <c r="B417" s="53"/>
      <c r="C417" s="53"/>
      <c r="D417" s="53" t="s">
        <v>135</v>
      </c>
      <c r="E417" s="53"/>
      <c r="F417" s="53"/>
      <c r="G417" s="53" t="s">
        <v>211</v>
      </c>
      <c r="H417" s="53" t="s">
        <v>248</v>
      </c>
      <c r="I417" s="85" t="s">
        <v>249</v>
      </c>
      <c r="J417" s="85" t="s">
        <v>466</v>
      </c>
      <c r="K417" s="85" t="s">
        <v>467</v>
      </c>
      <c r="L417" s="53" t="s">
        <v>216</v>
      </c>
      <c r="M417" s="53" t="s">
        <v>252</v>
      </c>
      <c r="N417" s="53"/>
      <c r="O417" s="85" t="s">
        <v>468</v>
      </c>
      <c r="P417" s="53">
        <v>1</v>
      </c>
      <c r="Q417" s="183">
        <v>15</v>
      </c>
      <c r="R417" s="84">
        <v>0.91</v>
      </c>
      <c r="S417" s="53"/>
      <c r="T417" s="53"/>
      <c r="U417" s="53">
        <v>3</v>
      </c>
      <c r="V417" s="53">
        <v>480</v>
      </c>
      <c r="W417" s="53"/>
      <c r="X417" s="53"/>
      <c r="Y417" s="53"/>
      <c r="Z417" s="53"/>
      <c r="AA417" s="53"/>
      <c r="AB417" s="53"/>
      <c r="AC417" s="137" t="s">
        <v>110</v>
      </c>
      <c r="AD417" s="138" t="s">
        <v>111</v>
      </c>
      <c r="AE417" s="83">
        <v>8760</v>
      </c>
      <c r="AF417" s="139">
        <v>1</v>
      </c>
      <c r="AG417" s="179">
        <v>1</v>
      </c>
      <c r="AH417" s="139">
        <v>1</v>
      </c>
      <c r="AI417" s="139">
        <v>1</v>
      </c>
      <c r="AJ417" s="83">
        <f t="shared" si="71"/>
        <v>3504</v>
      </c>
      <c r="AK417" s="83">
        <f t="shared" si="72"/>
        <v>5256</v>
      </c>
      <c r="AL417" s="104">
        <f t="shared" si="73"/>
        <v>12.296703296703296</v>
      </c>
      <c r="AM417" s="104">
        <f t="shared" si="74"/>
        <v>12.296703296703296</v>
      </c>
      <c r="AN417" s="83">
        <f t="shared" si="75"/>
        <v>43087.648351648349</v>
      </c>
      <c r="AO417" s="83">
        <f t="shared" si="76"/>
        <v>64631.472527472521</v>
      </c>
      <c r="AP417" s="83">
        <f t="shared" si="77"/>
        <v>147.02108844659341</v>
      </c>
      <c r="AQ417" s="83">
        <f t="shared" si="78"/>
        <v>220.53163266989009</v>
      </c>
      <c r="AR417" s="85"/>
      <c r="AS417" s="85"/>
      <c r="AT417" s="53"/>
      <c r="AU417" s="53"/>
      <c r="AV417" s="53"/>
      <c r="AW417" s="53"/>
      <c r="AX417" s="53"/>
      <c r="AY417" s="53"/>
      <c r="AZ417" s="53"/>
      <c r="BA417" s="53"/>
      <c r="BB417" s="53"/>
      <c r="BC417" s="111">
        <f t="shared" si="79"/>
        <v>43087.648351648349</v>
      </c>
      <c r="BD417" s="111">
        <f t="shared" si="80"/>
        <v>64631.472527472521</v>
      </c>
    </row>
    <row r="418" spans="1:56" ht="15.75" x14ac:dyDescent="0.25">
      <c r="A418" s="53">
        <v>408</v>
      </c>
      <c r="B418" s="53"/>
      <c r="C418" s="53"/>
      <c r="D418" s="53" t="s">
        <v>135</v>
      </c>
      <c r="E418" s="53"/>
      <c r="F418" s="53"/>
      <c r="G418" s="53" t="s">
        <v>211</v>
      </c>
      <c r="H418" s="53" t="s">
        <v>248</v>
      </c>
      <c r="I418" s="85" t="s">
        <v>249</v>
      </c>
      <c r="J418" s="85" t="s">
        <v>549</v>
      </c>
      <c r="K418" s="85" t="s">
        <v>550</v>
      </c>
      <c r="L418" s="53" t="s">
        <v>216</v>
      </c>
      <c r="M418" s="53" t="s">
        <v>252</v>
      </c>
      <c r="N418" s="53"/>
      <c r="O418" s="85" t="s">
        <v>551</v>
      </c>
      <c r="P418" s="53">
        <v>1</v>
      </c>
      <c r="Q418" s="183">
        <v>7.5</v>
      </c>
      <c r="R418" s="84">
        <v>0.89500000000000002</v>
      </c>
      <c r="S418" s="53"/>
      <c r="T418" s="53"/>
      <c r="U418" s="53">
        <v>3</v>
      </c>
      <c r="V418" s="53">
        <v>480</v>
      </c>
      <c r="W418" s="53"/>
      <c r="X418" s="53"/>
      <c r="Y418" s="53"/>
      <c r="Z418" s="53"/>
      <c r="AA418" s="53"/>
      <c r="AB418" s="53"/>
      <c r="AC418" s="137" t="s">
        <v>110</v>
      </c>
      <c r="AD418" s="138" t="s">
        <v>111</v>
      </c>
      <c r="AE418" s="83">
        <v>8760</v>
      </c>
      <c r="AF418" s="139">
        <v>1</v>
      </c>
      <c r="AG418" s="179">
        <v>1</v>
      </c>
      <c r="AH418" s="139">
        <v>1</v>
      </c>
      <c r="AI418" s="139">
        <v>1</v>
      </c>
      <c r="AJ418" s="83">
        <f t="shared" si="71"/>
        <v>3504</v>
      </c>
      <c r="AK418" s="83">
        <f t="shared" si="72"/>
        <v>5256</v>
      </c>
      <c r="AL418" s="104">
        <f t="shared" si="73"/>
        <v>6.2513966480446923</v>
      </c>
      <c r="AM418" s="104">
        <f t="shared" si="74"/>
        <v>6.2513966480446923</v>
      </c>
      <c r="AN418" s="83">
        <f t="shared" si="75"/>
        <v>21904.893854748603</v>
      </c>
      <c r="AO418" s="83">
        <f t="shared" si="76"/>
        <v>32857.340782122905</v>
      </c>
      <c r="AP418" s="182">
        <f t="shared" si="77"/>
        <v>74.742564517541894</v>
      </c>
      <c r="AQ418" s="182">
        <f t="shared" si="78"/>
        <v>112.11384677631284</v>
      </c>
      <c r="AR418" s="85"/>
      <c r="AS418" s="85"/>
      <c r="AT418" s="53"/>
      <c r="AU418" s="53"/>
      <c r="AV418" s="53"/>
      <c r="AW418" s="53"/>
      <c r="AX418" s="53"/>
      <c r="AY418" s="53"/>
      <c r="AZ418" s="53"/>
      <c r="BA418" s="53"/>
      <c r="BB418" s="53"/>
      <c r="BC418" s="111">
        <f t="shared" si="79"/>
        <v>21904.893854748603</v>
      </c>
      <c r="BD418" s="111">
        <f t="shared" si="80"/>
        <v>32857.340782122905</v>
      </c>
    </row>
    <row r="419" spans="1:56" ht="15.75" x14ac:dyDescent="0.25">
      <c r="A419" s="53">
        <v>409</v>
      </c>
      <c r="B419" s="53"/>
      <c r="C419" s="53"/>
      <c r="D419" s="53" t="s">
        <v>135</v>
      </c>
      <c r="E419" s="53"/>
      <c r="F419" s="53"/>
      <c r="G419" s="53" t="s">
        <v>211</v>
      </c>
      <c r="H419" s="53" t="s">
        <v>248</v>
      </c>
      <c r="I419" s="85" t="s">
        <v>249</v>
      </c>
      <c r="J419" s="85" t="s">
        <v>549</v>
      </c>
      <c r="K419" s="85" t="s">
        <v>552</v>
      </c>
      <c r="L419" s="53" t="s">
        <v>216</v>
      </c>
      <c r="M419" s="53" t="s">
        <v>252</v>
      </c>
      <c r="N419" s="53"/>
      <c r="O419" s="85" t="s">
        <v>551</v>
      </c>
      <c r="P419" s="53">
        <v>1</v>
      </c>
      <c r="Q419" s="183">
        <v>7.5</v>
      </c>
      <c r="R419" s="84">
        <v>0.89500000000000002</v>
      </c>
      <c r="S419" s="53"/>
      <c r="T419" s="53"/>
      <c r="U419" s="53">
        <v>3</v>
      </c>
      <c r="V419" s="53">
        <v>480</v>
      </c>
      <c r="W419" s="53"/>
      <c r="X419" s="53"/>
      <c r="Y419" s="53"/>
      <c r="Z419" s="53"/>
      <c r="AA419" s="53"/>
      <c r="AB419" s="53"/>
      <c r="AC419" s="137" t="s">
        <v>110</v>
      </c>
      <c r="AD419" s="138" t="s">
        <v>111</v>
      </c>
      <c r="AE419" s="83">
        <v>8760</v>
      </c>
      <c r="AF419" s="139">
        <v>1</v>
      </c>
      <c r="AG419" s="179">
        <v>1</v>
      </c>
      <c r="AH419" s="139">
        <v>1</v>
      </c>
      <c r="AI419" s="139">
        <v>1</v>
      </c>
      <c r="AJ419" s="83">
        <f t="shared" si="71"/>
        <v>3504</v>
      </c>
      <c r="AK419" s="83">
        <f t="shared" si="72"/>
        <v>5256</v>
      </c>
      <c r="AL419" s="104">
        <f t="shared" si="73"/>
        <v>6.2513966480446923</v>
      </c>
      <c r="AM419" s="104">
        <f t="shared" si="74"/>
        <v>6.2513966480446923</v>
      </c>
      <c r="AN419" s="83">
        <f t="shared" si="75"/>
        <v>21904.893854748603</v>
      </c>
      <c r="AO419" s="83">
        <f t="shared" si="76"/>
        <v>32857.340782122905</v>
      </c>
      <c r="AP419" s="83">
        <f t="shared" si="77"/>
        <v>74.742564517541894</v>
      </c>
      <c r="AQ419" s="83">
        <f t="shared" si="78"/>
        <v>112.11384677631284</v>
      </c>
      <c r="AR419" s="85"/>
      <c r="AS419" s="85"/>
      <c r="AT419" s="53"/>
      <c r="AU419" s="53"/>
      <c r="AV419" s="53"/>
      <c r="AW419" s="53"/>
      <c r="AX419" s="53"/>
      <c r="AY419" s="53"/>
      <c r="AZ419" s="53"/>
      <c r="BA419" s="53"/>
      <c r="BB419" s="53"/>
      <c r="BC419" s="111">
        <f t="shared" si="79"/>
        <v>21904.893854748603</v>
      </c>
      <c r="BD419" s="111">
        <f t="shared" si="80"/>
        <v>32857.340782122905</v>
      </c>
    </row>
    <row r="420" spans="1:56" ht="15.75" x14ac:dyDescent="0.25">
      <c r="A420" s="53">
        <v>410</v>
      </c>
      <c r="B420" s="53"/>
      <c r="C420" s="53"/>
      <c r="D420" s="53" t="s">
        <v>135</v>
      </c>
      <c r="E420" s="53"/>
      <c r="F420" s="53"/>
      <c r="G420" s="53" t="s">
        <v>211</v>
      </c>
      <c r="H420" s="53" t="s">
        <v>248</v>
      </c>
      <c r="I420" s="85" t="s">
        <v>249</v>
      </c>
      <c r="J420" s="85" t="s">
        <v>549</v>
      </c>
      <c r="K420" s="85" t="s">
        <v>553</v>
      </c>
      <c r="L420" s="53" t="s">
        <v>216</v>
      </c>
      <c r="M420" s="53" t="s">
        <v>252</v>
      </c>
      <c r="N420" s="53"/>
      <c r="O420" s="85" t="s">
        <v>551</v>
      </c>
      <c r="P420" s="53">
        <v>1</v>
      </c>
      <c r="Q420" s="183">
        <v>7.5</v>
      </c>
      <c r="R420" s="84">
        <v>0.89500000000000002</v>
      </c>
      <c r="S420" s="53"/>
      <c r="T420" s="53"/>
      <c r="U420" s="53">
        <v>3</v>
      </c>
      <c r="V420" s="53">
        <v>480</v>
      </c>
      <c r="W420" s="53"/>
      <c r="X420" s="53"/>
      <c r="Y420" s="53"/>
      <c r="Z420" s="53"/>
      <c r="AA420" s="53"/>
      <c r="AB420" s="53"/>
      <c r="AC420" s="137" t="s">
        <v>110</v>
      </c>
      <c r="AD420" s="138" t="s">
        <v>111</v>
      </c>
      <c r="AE420" s="83">
        <v>8760</v>
      </c>
      <c r="AF420" s="139">
        <v>1</v>
      </c>
      <c r="AG420" s="179">
        <v>1</v>
      </c>
      <c r="AH420" s="139">
        <v>1</v>
      </c>
      <c r="AI420" s="139">
        <v>1</v>
      </c>
      <c r="AJ420" s="83">
        <f t="shared" si="71"/>
        <v>3504</v>
      </c>
      <c r="AK420" s="83">
        <f t="shared" si="72"/>
        <v>5256</v>
      </c>
      <c r="AL420" s="104">
        <f t="shared" si="73"/>
        <v>6.2513966480446923</v>
      </c>
      <c r="AM420" s="104">
        <f t="shared" si="74"/>
        <v>6.2513966480446923</v>
      </c>
      <c r="AN420" s="83">
        <f t="shared" si="75"/>
        <v>21904.893854748603</v>
      </c>
      <c r="AO420" s="83">
        <f t="shared" si="76"/>
        <v>32857.340782122905</v>
      </c>
      <c r="AP420" s="182">
        <f t="shared" si="77"/>
        <v>74.742564517541894</v>
      </c>
      <c r="AQ420" s="182">
        <f t="shared" si="78"/>
        <v>112.11384677631284</v>
      </c>
      <c r="AR420" s="85"/>
      <c r="AS420" s="85"/>
      <c r="AT420" s="53"/>
      <c r="AU420" s="53"/>
      <c r="AV420" s="53"/>
      <c r="AW420" s="53"/>
      <c r="AX420" s="53"/>
      <c r="AY420" s="53"/>
      <c r="AZ420" s="53"/>
      <c r="BA420" s="53"/>
      <c r="BB420" s="53"/>
      <c r="BC420" s="111">
        <f t="shared" si="79"/>
        <v>21904.893854748603</v>
      </c>
      <c r="BD420" s="111">
        <f t="shared" si="80"/>
        <v>32857.340782122905</v>
      </c>
    </row>
    <row r="421" spans="1:56" ht="15.75" x14ac:dyDescent="0.25">
      <c r="A421" s="53">
        <v>411</v>
      </c>
      <c r="B421" s="53"/>
      <c r="C421" s="53"/>
      <c r="D421" s="53" t="s">
        <v>135</v>
      </c>
      <c r="E421" s="53"/>
      <c r="F421" s="53"/>
      <c r="G421" s="53" t="s">
        <v>211</v>
      </c>
      <c r="H421" s="53" t="s">
        <v>248</v>
      </c>
      <c r="I421" s="85" t="s">
        <v>249</v>
      </c>
      <c r="J421" s="85" t="s">
        <v>302</v>
      </c>
      <c r="K421" s="85" t="s">
        <v>303</v>
      </c>
      <c r="L421" s="53" t="s">
        <v>216</v>
      </c>
      <c r="M421" s="53" t="s">
        <v>252</v>
      </c>
      <c r="N421" s="53"/>
      <c r="O421" s="85" t="s">
        <v>304</v>
      </c>
      <c r="P421" s="53">
        <v>1</v>
      </c>
      <c r="Q421" s="183">
        <v>50</v>
      </c>
      <c r="R421" s="84">
        <v>0.93</v>
      </c>
      <c r="S421" s="53"/>
      <c r="T421" s="53"/>
      <c r="U421" s="53">
        <v>3</v>
      </c>
      <c r="V421" s="53">
        <v>480</v>
      </c>
      <c r="W421" s="53"/>
      <c r="X421" s="53"/>
      <c r="Y421" s="53"/>
      <c r="Z421" s="53"/>
      <c r="AA421" s="53"/>
      <c r="AB421" s="53"/>
      <c r="AC421" s="137" t="s">
        <v>110</v>
      </c>
      <c r="AD421" s="138" t="s">
        <v>111</v>
      </c>
      <c r="AE421" s="83">
        <v>8760</v>
      </c>
      <c r="AF421" s="139">
        <v>1</v>
      </c>
      <c r="AG421" s="179">
        <v>1</v>
      </c>
      <c r="AH421" s="139">
        <v>1</v>
      </c>
      <c r="AI421" s="139">
        <v>1</v>
      </c>
      <c r="AJ421" s="83">
        <f t="shared" si="71"/>
        <v>3504</v>
      </c>
      <c r="AK421" s="83">
        <f t="shared" si="72"/>
        <v>5256</v>
      </c>
      <c r="AL421" s="104">
        <f t="shared" si="73"/>
        <v>40.107526881720425</v>
      </c>
      <c r="AM421" s="104">
        <f t="shared" si="74"/>
        <v>40.107526881720425</v>
      </c>
      <c r="AN421" s="83">
        <f t="shared" si="75"/>
        <v>140536.77419354836</v>
      </c>
      <c r="AO421" s="83">
        <f t="shared" si="76"/>
        <v>210805.16129032255</v>
      </c>
      <c r="AP421" s="83">
        <f t="shared" si="77"/>
        <v>479.53114869677415</v>
      </c>
      <c r="AQ421" s="83">
        <f t="shared" si="78"/>
        <v>719.29672304516112</v>
      </c>
      <c r="AR421" s="85"/>
      <c r="AS421" s="85"/>
      <c r="AT421" s="53"/>
      <c r="AU421" s="53"/>
      <c r="AV421" s="53"/>
      <c r="AW421" s="53"/>
      <c r="AX421" s="53"/>
      <c r="AY421" s="53"/>
      <c r="AZ421" s="53"/>
      <c r="BA421" s="53"/>
      <c r="BB421" s="53"/>
      <c r="BC421" s="111">
        <f t="shared" si="79"/>
        <v>140536.77419354836</v>
      </c>
      <c r="BD421" s="111">
        <f t="shared" si="80"/>
        <v>210805.16129032255</v>
      </c>
    </row>
    <row r="422" spans="1:56" ht="15.75" x14ac:dyDescent="0.25">
      <c r="A422" s="53">
        <v>412</v>
      </c>
      <c r="B422" s="53"/>
      <c r="C422" s="53"/>
      <c r="D422" s="53" t="s">
        <v>135</v>
      </c>
      <c r="E422" s="53"/>
      <c r="F422" s="53"/>
      <c r="G422" s="53" t="s">
        <v>211</v>
      </c>
      <c r="H422" s="53" t="s">
        <v>248</v>
      </c>
      <c r="I422" s="85" t="s">
        <v>249</v>
      </c>
      <c r="J422" s="85" t="s">
        <v>343</v>
      </c>
      <c r="K422" s="85" t="s">
        <v>351</v>
      </c>
      <c r="L422" s="53" t="s">
        <v>216</v>
      </c>
      <c r="M422" s="53" t="s">
        <v>252</v>
      </c>
      <c r="N422" s="53"/>
      <c r="O422" s="85" t="s">
        <v>345</v>
      </c>
      <c r="P422" s="53">
        <v>1</v>
      </c>
      <c r="Q422" s="183">
        <v>25</v>
      </c>
      <c r="R422" s="84">
        <v>0.92400000000000004</v>
      </c>
      <c r="S422" s="53"/>
      <c r="T422" s="53"/>
      <c r="U422" s="53">
        <v>3</v>
      </c>
      <c r="V422" s="53">
        <v>480</v>
      </c>
      <c r="W422" s="53"/>
      <c r="X422" s="53"/>
      <c r="Y422" s="53"/>
      <c r="Z422" s="53"/>
      <c r="AA422" s="53"/>
      <c r="AB422" s="53"/>
      <c r="AC422" s="137" t="s">
        <v>110</v>
      </c>
      <c r="AD422" s="138" t="s">
        <v>111</v>
      </c>
      <c r="AE422" s="83">
        <v>8760</v>
      </c>
      <c r="AF422" s="139">
        <v>1</v>
      </c>
      <c r="AG422" s="179">
        <v>1</v>
      </c>
      <c r="AH422" s="139">
        <v>1</v>
      </c>
      <c r="AI422" s="139">
        <v>1</v>
      </c>
      <c r="AJ422" s="83">
        <f t="shared" si="71"/>
        <v>3504</v>
      </c>
      <c r="AK422" s="83">
        <f t="shared" si="72"/>
        <v>5256</v>
      </c>
      <c r="AL422" s="104">
        <f t="shared" si="73"/>
        <v>20.183982683982681</v>
      </c>
      <c r="AM422" s="104">
        <f t="shared" si="74"/>
        <v>20.183982683982681</v>
      </c>
      <c r="AN422" s="83">
        <f t="shared" si="75"/>
        <v>70724.675324675307</v>
      </c>
      <c r="AO422" s="83">
        <f t="shared" si="76"/>
        <v>106087.01298701297</v>
      </c>
      <c r="AP422" s="182">
        <f t="shared" si="77"/>
        <v>241.32249366233759</v>
      </c>
      <c r="AQ422" s="182">
        <f t="shared" si="78"/>
        <v>361.98374049350645</v>
      </c>
      <c r="AR422" s="85"/>
      <c r="AS422" s="85"/>
      <c r="AT422" s="53"/>
      <c r="AU422" s="53"/>
      <c r="AV422" s="53"/>
      <c r="AW422" s="53"/>
      <c r="AX422" s="53"/>
      <c r="AY422" s="53"/>
      <c r="AZ422" s="53"/>
      <c r="BA422" s="53"/>
      <c r="BB422" s="53"/>
      <c r="BC422" s="111">
        <f t="shared" si="79"/>
        <v>70724.675324675307</v>
      </c>
      <c r="BD422" s="111">
        <f t="shared" si="80"/>
        <v>106087.01298701297</v>
      </c>
    </row>
    <row r="423" spans="1:56" ht="15.75" x14ac:dyDescent="0.25">
      <c r="A423" s="53">
        <v>413</v>
      </c>
      <c r="B423" s="53"/>
      <c r="C423" s="53"/>
      <c r="D423" s="53" t="s">
        <v>135</v>
      </c>
      <c r="E423" s="53"/>
      <c r="F423" s="53"/>
      <c r="G423" s="53" t="s">
        <v>211</v>
      </c>
      <c r="H423" s="53" t="s">
        <v>248</v>
      </c>
      <c r="I423" s="85" t="s">
        <v>249</v>
      </c>
      <c r="J423" s="85" t="s">
        <v>271</v>
      </c>
      <c r="K423" s="85" t="s">
        <v>276</v>
      </c>
      <c r="L423" s="53" t="s">
        <v>216</v>
      </c>
      <c r="M423" s="53" t="s">
        <v>252</v>
      </c>
      <c r="N423" s="53"/>
      <c r="O423" s="85" t="s">
        <v>277</v>
      </c>
      <c r="P423" s="53">
        <v>1</v>
      </c>
      <c r="Q423" s="183">
        <v>125</v>
      </c>
      <c r="R423" s="84">
        <v>0.94499999999999995</v>
      </c>
      <c r="S423" s="53"/>
      <c r="T423" s="53"/>
      <c r="U423" s="53">
        <v>3</v>
      </c>
      <c r="V423" s="53">
        <v>480</v>
      </c>
      <c r="W423" s="53"/>
      <c r="X423" s="53"/>
      <c r="Y423" s="53"/>
      <c r="Z423" s="53"/>
      <c r="AA423" s="53"/>
      <c r="AB423" s="53"/>
      <c r="AC423" s="137" t="s">
        <v>110</v>
      </c>
      <c r="AD423" s="138" t="s">
        <v>111</v>
      </c>
      <c r="AE423" s="83">
        <v>8760</v>
      </c>
      <c r="AF423" s="139">
        <v>1</v>
      </c>
      <c r="AG423" s="179">
        <v>1</v>
      </c>
      <c r="AH423" s="139">
        <v>1</v>
      </c>
      <c r="AI423" s="139">
        <v>1</v>
      </c>
      <c r="AJ423" s="83">
        <f t="shared" si="71"/>
        <v>3504</v>
      </c>
      <c r="AK423" s="83">
        <f t="shared" si="72"/>
        <v>5256</v>
      </c>
      <c r="AL423" s="104">
        <f t="shared" si="73"/>
        <v>98.677248677248684</v>
      </c>
      <c r="AM423" s="104">
        <f t="shared" si="74"/>
        <v>98.677248677248684</v>
      </c>
      <c r="AN423" s="83">
        <f t="shared" si="75"/>
        <v>345765.07936507941</v>
      </c>
      <c r="AO423" s="83">
        <f t="shared" si="76"/>
        <v>518647.61904761911</v>
      </c>
      <c r="AP423" s="83">
        <f t="shared" si="77"/>
        <v>1179.7988579047619</v>
      </c>
      <c r="AQ423" s="83">
        <f t="shared" si="78"/>
        <v>1769.6982868571429</v>
      </c>
      <c r="AR423" s="85"/>
      <c r="AS423" s="85"/>
      <c r="AT423" s="53"/>
      <c r="AU423" s="53"/>
      <c r="AV423" s="53"/>
      <c r="AW423" s="53"/>
      <c r="AX423" s="53"/>
      <c r="AY423" s="53"/>
      <c r="AZ423" s="53"/>
      <c r="BA423" s="53"/>
      <c r="BB423" s="53"/>
      <c r="BC423" s="111">
        <f t="shared" si="79"/>
        <v>345765.07936507941</v>
      </c>
      <c r="BD423" s="111">
        <f t="shared" si="80"/>
        <v>518647.61904761911</v>
      </c>
    </row>
    <row r="424" spans="1:56" ht="15.75" x14ac:dyDescent="0.25">
      <c r="A424" s="53">
        <v>414</v>
      </c>
      <c r="B424" s="53"/>
      <c r="C424" s="53"/>
      <c r="D424" s="53" t="s">
        <v>135</v>
      </c>
      <c r="E424" s="53"/>
      <c r="F424" s="53"/>
      <c r="G424" s="53" t="s">
        <v>211</v>
      </c>
      <c r="H424" s="53" t="s">
        <v>248</v>
      </c>
      <c r="I424" s="85" t="s">
        <v>249</v>
      </c>
      <c r="J424" s="85" t="s">
        <v>346</v>
      </c>
      <c r="K424" s="85" t="s">
        <v>352</v>
      </c>
      <c r="L424" s="53" t="s">
        <v>216</v>
      </c>
      <c r="M424" s="53" t="s">
        <v>252</v>
      </c>
      <c r="N424" s="53"/>
      <c r="O424" s="85" t="s">
        <v>345</v>
      </c>
      <c r="P424" s="53">
        <v>1</v>
      </c>
      <c r="Q424" s="183">
        <v>25</v>
      </c>
      <c r="R424" s="84">
        <v>0.92400000000000004</v>
      </c>
      <c r="S424" s="53"/>
      <c r="T424" s="53"/>
      <c r="U424" s="53">
        <v>3</v>
      </c>
      <c r="V424" s="53">
        <v>480</v>
      </c>
      <c r="W424" s="53"/>
      <c r="X424" s="53"/>
      <c r="Y424" s="53"/>
      <c r="Z424" s="53"/>
      <c r="AA424" s="53"/>
      <c r="AB424" s="53"/>
      <c r="AC424" s="137" t="s">
        <v>110</v>
      </c>
      <c r="AD424" s="138" t="s">
        <v>111</v>
      </c>
      <c r="AE424" s="83">
        <v>8760</v>
      </c>
      <c r="AF424" s="139">
        <v>1</v>
      </c>
      <c r="AG424" s="179">
        <v>1</v>
      </c>
      <c r="AH424" s="139">
        <v>1</v>
      </c>
      <c r="AI424" s="139">
        <v>1</v>
      </c>
      <c r="AJ424" s="83">
        <f t="shared" si="71"/>
        <v>3504</v>
      </c>
      <c r="AK424" s="83">
        <f t="shared" si="72"/>
        <v>5256</v>
      </c>
      <c r="AL424" s="104">
        <f t="shared" si="73"/>
        <v>20.183982683982681</v>
      </c>
      <c r="AM424" s="104">
        <f t="shared" si="74"/>
        <v>20.183982683982681</v>
      </c>
      <c r="AN424" s="83">
        <f t="shared" si="75"/>
        <v>70724.675324675307</v>
      </c>
      <c r="AO424" s="83">
        <f t="shared" si="76"/>
        <v>106087.01298701297</v>
      </c>
      <c r="AP424" s="182">
        <f t="shared" si="77"/>
        <v>241.32249366233759</v>
      </c>
      <c r="AQ424" s="182">
        <f t="shared" si="78"/>
        <v>361.98374049350645</v>
      </c>
      <c r="AR424" s="85"/>
      <c r="AS424" s="85"/>
      <c r="AT424" s="53"/>
      <c r="AU424" s="53"/>
      <c r="AV424" s="53"/>
      <c r="AW424" s="53"/>
      <c r="AX424" s="53"/>
      <c r="AY424" s="53"/>
      <c r="AZ424" s="53"/>
      <c r="BA424" s="53"/>
      <c r="BB424" s="53"/>
      <c r="BC424" s="111">
        <f t="shared" si="79"/>
        <v>70724.675324675307</v>
      </c>
      <c r="BD424" s="111">
        <f t="shared" si="80"/>
        <v>106087.01298701297</v>
      </c>
    </row>
    <row r="425" spans="1:56" ht="15.75" x14ac:dyDescent="0.25">
      <c r="A425" s="53">
        <v>415</v>
      </c>
      <c r="B425" s="53"/>
      <c r="C425" s="53"/>
      <c r="D425" s="53" t="s">
        <v>135</v>
      </c>
      <c r="E425" s="53"/>
      <c r="F425" s="53"/>
      <c r="G425" s="53" t="s">
        <v>211</v>
      </c>
      <c r="H425" s="53" t="s">
        <v>248</v>
      </c>
      <c r="I425" s="85" t="s">
        <v>249</v>
      </c>
      <c r="J425" s="85" t="s">
        <v>250</v>
      </c>
      <c r="K425" s="85" t="s">
        <v>255</v>
      </c>
      <c r="L425" s="53" t="s">
        <v>216</v>
      </c>
      <c r="M425" s="53" t="s">
        <v>252</v>
      </c>
      <c r="N425" s="53"/>
      <c r="O425" s="85" t="s">
        <v>253</v>
      </c>
      <c r="P425" s="53">
        <v>1</v>
      </c>
      <c r="Q425" s="183">
        <v>200</v>
      </c>
      <c r="R425" s="84">
        <v>0.95</v>
      </c>
      <c r="S425" s="53"/>
      <c r="T425" s="53"/>
      <c r="U425" s="53">
        <v>3</v>
      </c>
      <c r="V425" s="53">
        <v>480</v>
      </c>
      <c r="W425" s="53"/>
      <c r="X425" s="53"/>
      <c r="Y425" s="53"/>
      <c r="Z425" s="53"/>
      <c r="AA425" s="53"/>
      <c r="AB425" s="53"/>
      <c r="AC425" s="137" t="s">
        <v>110</v>
      </c>
      <c r="AD425" s="138" t="s">
        <v>111</v>
      </c>
      <c r="AE425" s="83">
        <v>8760</v>
      </c>
      <c r="AF425" s="139">
        <v>1</v>
      </c>
      <c r="AG425" s="179">
        <v>1</v>
      </c>
      <c r="AH425" s="179">
        <v>0.1</v>
      </c>
      <c r="AI425" s="179">
        <v>0.5</v>
      </c>
      <c r="AJ425" s="83">
        <f t="shared" si="71"/>
        <v>3504</v>
      </c>
      <c r="AK425" s="83">
        <f t="shared" si="72"/>
        <v>5256</v>
      </c>
      <c r="AL425" s="104">
        <f t="shared" si="73"/>
        <v>15.705263157894738</v>
      </c>
      <c r="AM425" s="104">
        <f t="shared" si="74"/>
        <v>78.526315789473685</v>
      </c>
      <c r="AN425" s="83">
        <f t="shared" si="75"/>
        <v>55031.242105263162</v>
      </c>
      <c r="AO425" s="83">
        <f t="shared" si="76"/>
        <v>412734.31578947371</v>
      </c>
      <c r="AP425" s="83">
        <f t="shared" si="77"/>
        <v>187.77430243705263</v>
      </c>
      <c r="AQ425" s="83">
        <f t="shared" si="78"/>
        <v>1408.3072682778948</v>
      </c>
      <c r="AR425" s="85"/>
      <c r="AS425" s="85"/>
      <c r="AT425" s="53"/>
      <c r="AU425" s="53"/>
      <c r="AV425" s="53"/>
      <c r="AW425" s="53"/>
      <c r="AX425" s="53"/>
      <c r="AY425" s="53"/>
      <c r="AZ425" s="53"/>
      <c r="BA425" s="53"/>
      <c r="BB425" s="53"/>
      <c r="BC425" s="111">
        <f t="shared" si="79"/>
        <v>55031.242105263162</v>
      </c>
      <c r="BD425" s="111">
        <f t="shared" si="80"/>
        <v>412734.31578947371</v>
      </c>
    </row>
    <row r="426" spans="1:56" ht="15.75" x14ac:dyDescent="0.25">
      <c r="A426" s="53">
        <v>416</v>
      </c>
      <c r="B426" s="53"/>
      <c r="C426" s="53"/>
      <c r="D426" s="53" t="s">
        <v>135</v>
      </c>
      <c r="E426" s="53"/>
      <c r="F426" s="53"/>
      <c r="G426" s="53" t="s">
        <v>211</v>
      </c>
      <c r="H426" s="53" t="s">
        <v>248</v>
      </c>
      <c r="I426" s="85" t="s">
        <v>249</v>
      </c>
      <c r="J426" s="85" t="s">
        <v>376</v>
      </c>
      <c r="K426" s="85" t="s">
        <v>377</v>
      </c>
      <c r="L426" s="53" t="s">
        <v>216</v>
      </c>
      <c r="M426" s="53" t="s">
        <v>252</v>
      </c>
      <c r="N426" s="53"/>
      <c r="O426" s="85" t="s">
        <v>378</v>
      </c>
      <c r="P426" s="53">
        <v>1</v>
      </c>
      <c r="Q426" s="183">
        <v>20</v>
      </c>
      <c r="R426" s="84">
        <v>0.91400000000000003</v>
      </c>
      <c r="S426" s="53"/>
      <c r="T426" s="53"/>
      <c r="U426" s="53">
        <v>3</v>
      </c>
      <c r="V426" s="53">
        <v>480</v>
      </c>
      <c r="W426" s="53"/>
      <c r="X426" s="53"/>
      <c r="Y426" s="53"/>
      <c r="Z426" s="53"/>
      <c r="AA426" s="53"/>
      <c r="AB426" s="53"/>
      <c r="AC426" s="137" t="s">
        <v>110</v>
      </c>
      <c r="AD426" s="138" t="s">
        <v>111</v>
      </c>
      <c r="AE426" s="83">
        <v>8760</v>
      </c>
      <c r="AF426" s="139">
        <v>1</v>
      </c>
      <c r="AG426" s="179">
        <v>1</v>
      </c>
      <c r="AH426" s="139">
        <v>1</v>
      </c>
      <c r="AI426" s="139">
        <v>1</v>
      </c>
      <c r="AJ426" s="83">
        <f t="shared" si="71"/>
        <v>3504</v>
      </c>
      <c r="AK426" s="83">
        <f t="shared" si="72"/>
        <v>5256</v>
      </c>
      <c r="AL426" s="104">
        <f t="shared" si="73"/>
        <v>16.323851203501093</v>
      </c>
      <c r="AM426" s="104">
        <f t="shared" si="74"/>
        <v>16.323851203501093</v>
      </c>
      <c r="AN426" s="83">
        <f t="shared" si="75"/>
        <v>57198.774617067829</v>
      </c>
      <c r="AO426" s="83">
        <f t="shared" si="76"/>
        <v>85798.161925601744</v>
      </c>
      <c r="AP426" s="182">
        <f t="shared" si="77"/>
        <v>195.17022682188181</v>
      </c>
      <c r="AQ426" s="182">
        <f t="shared" si="78"/>
        <v>292.75534023282273</v>
      </c>
      <c r="AR426" s="85"/>
      <c r="AS426" s="85"/>
      <c r="AT426" s="53"/>
      <c r="AU426" s="53"/>
      <c r="AV426" s="53"/>
      <c r="AW426" s="53"/>
      <c r="AX426" s="53"/>
      <c r="AY426" s="53"/>
      <c r="AZ426" s="53"/>
      <c r="BA426" s="53"/>
      <c r="BB426" s="53"/>
      <c r="BC426" s="111">
        <f t="shared" si="79"/>
        <v>57198.774617067829</v>
      </c>
      <c r="BD426" s="111">
        <f t="shared" si="80"/>
        <v>85798.161925601744</v>
      </c>
    </row>
    <row r="427" spans="1:56" ht="15.75" x14ac:dyDescent="0.25">
      <c r="A427" s="53">
        <v>417</v>
      </c>
      <c r="B427" s="53"/>
      <c r="C427" s="53"/>
      <c r="D427" s="53" t="s">
        <v>135</v>
      </c>
      <c r="E427" s="53"/>
      <c r="F427" s="53"/>
      <c r="G427" s="53" t="s">
        <v>211</v>
      </c>
      <c r="H427" s="53" t="s">
        <v>248</v>
      </c>
      <c r="I427" s="85" t="s">
        <v>249</v>
      </c>
      <c r="J427" s="85" t="s">
        <v>305</v>
      </c>
      <c r="K427" s="85" t="s">
        <v>306</v>
      </c>
      <c r="L427" s="53" t="s">
        <v>216</v>
      </c>
      <c r="M427" s="53" t="s">
        <v>252</v>
      </c>
      <c r="N427" s="53"/>
      <c r="O427" s="85" t="s">
        <v>304</v>
      </c>
      <c r="P427" s="53">
        <v>1</v>
      </c>
      <c r="Q427" s="183">
        <v>50</v>
      </c>
      <c r="R427" s="84">
        <v>0.93</v>
      </c>
      <c r="S427" s="53"/>
      <c r="T427" s="53"/>
      <c r="U427" s="53">
        <v>3</v>
      </c>
      <c r="V427" s="53">
        <v>480</v>
      </c>
      <c r="W427" s="53"/>
      <c r="X427" s="53"/>
      <c r="Y427" s="53"/>
      <c r="Z427" s="53"/>
      <c r="AA427" s="53"/>
      <c r="AB427" s="53"/>
      <c r="AC427" s="137" t="s">
        <v>110</v>
      </c>
      <c r="AD427" s="138" t="s">
        <v>111</v>
      </c>
      <c r="AE427" s="83">
        <v>8760</v>
      </c>
      <c r="AF427" s="139">
        <v>1</v>
      </c>
      <c r="AG427" s="179">
        <v>1</v>
      </c>
      <c r="AH427" s="139">
        <v>1</v>
      </c>
      <c r="AI427" s="139">
        <v>1</v>
      </c>
      <c r="AJ427" s="83">
        <f t="shared" si="71"/>
        <v>3504</v>
      </c>
      <c r="AK427" s="83">
        <f t="shared" si="72"/>
        <v>5256</v>
      </c>
      <c r="AL427" s="104">
        <f t="shared" si="73"/>
        <v>40.107526881720425</v>
      </c>
      <c r="AM427" s="104">
        <f t="shared" si="74"/>
        <v>40.107526881720425</v>
      </c>
      <c r="AN427" s="83">
        <f t="shared" si="75"/>
        <v>140536.77419354836</v>
      </c>
      <c r="AO427" s="83">
        <f t="shared" si="76"/>
        <v>210805.16129032255</v>
      </c>
      <c r="AP427" s="83">
        <f t="shared" si="77"/>
        <v>479.53114869677415</v>
      </c>
      <c r="AQ427" s="83">
        <f t="shared" si="78"/>
        <v>719.29672304516112</v>
      </c>
      <c r="AR427" s="85"/>
      <c r="AS427" s="85"/>
      <c r="AT427" s="53"/>
      <c r="AU427" s="53"/>
      <c r="AV427" s="53"/>
      <c r="AW427" s="53"/>
      <c r="AX427" s="53"/>
      <c r="AY427" s="53"/>
      <c r="AZ427" s="53"/>
      <c r="BA427" s="53"/>
      <c r="BB427" s="53"/>
      <c r="BC427" s="111">
        <f t="shared" si="79"/>
        <v>140536.77419354836</v>
      </c>
      <c r="BD427" s="111">
        <f t="shared" si="80"/>
        <v>210805.16129032255</v>
      </c>
    </row>
    <row r="428" spans="1:56" ht="15.75" x14ac:dyDescent="0.25">
      <c r="A428" s="53">
        <v>418</v>
      </c>
      <c r="B428" s="53"/>
      <c r="C428" s="53"/>
      <c r="D428" s="53" t="s">
        <v>135</v>
      </c>
      <c r="E428" s="53"/>
      <c r="F428" s="53"/>
      <c r="G428" s="53" t="s">
        <v>211</v>
      </c>
      <c r="H428" s="53" t="s">
        <v>557</v>
      </c>
      <c r="I428" s="85" t="s">
        <v>558</v>
      </c>
      <c r="J428" s="85" t="s">
        <v>885</v>
      </c>
      <c r="K428" s="85" t="s">
        <v>886</v>
      </c>
      <c r="L428" s="53" t="s">
        <v>216</v>
      </c>
      <c r="M428" s="53" t="s">
        <v>295</v>
      </c>
      <c r="N428" s="53"/>
      <c r="O428" s="85" t="s">
        <v>887</v>
      </c>
      <c r="P428" s="53">
        <v>1</v>
      </c>
      <c r="Q428" s="183">
        <v>0.33333333333333331</v>
      </c>
      <c r="R428" s="84">
        <v>0.8</v>
      </c>
      <c r="S428" s="53"/>
      <c r="T428" s="53"/>
      <c r="U428" s="53">
        <v>3</v>
      </c>
      <c r="V428" s="53">
        <v>480</v>
      </c>
      <c r="W428" s="53"/>
      <c r="X428" s="53"/>
      <c r="Y428" s="53"/>
      <c r="Z428" s="53"/>
      <c r="AA428" s="53"/>
      <c r="AB428" s="53"/>
      <c r="AC428" s="137" t="s">
        <v>110</v>
      </c>
      <c r="AD428" s="138" t="s">
        <v>118</v>
      </c>
      <c r="AE428" s="83">
        <v>8760</v>
      </c>
      <c r="AF428" s="139">
        <v>1</v>
      </c>
      <c r="AG428" s="179">
        <v>1</v>
      </c>
      <c r="AH428" s="139">
        <v>1</v>
      </c>
      <c r="AI428" s="139">
        <v>1</v>
      </c>
      <c r="AJ428" s="83">
        <f t="shared" si="71"/>
        <v>3504</v>
      </c>
      <c r="AK428" s="83">
        <f t="shared" si="72"/>
        <v>5256</v>
      </c>
      <c r="AL428" s="104">
        <f t="shared" si="73"/>
        <v>0.31083333333333329</v>
      </c>
      <c r="AM428" s="104">
        <f t="shared" si="74"/>
        <v>0.31083333333333329</v>
      </c>
      <c r="AN428" s="83">
        <f t="shared" si="75"/>
        <v>1089.1599999999999</v>
      </c>
      <c r="AO428" s="83">
        <f t="shared" si="76"/>
        <v>1633.7399999999998</v>
      </c>
      <c r="AP428" s="182">
        <f t="shared" si="77"/>
        <v>3.7163664023999994</v>
      </c>
      <c r="AQ428" s="182">
        <f t="shared" si="78"/>
        <v>5.5745496035999995</v>
      </c>
      <c r="AR428" s="85"/>
      <c r="AS428" s="85"/>
      <c r="AT428" s="53"/>
      <c r="AU428" s="53"/>
      <c r="AV428" s="53"/>
      <c r="AW428" s="53"/>
      <c r="AX428" s="53"/>
      <c r="AY428" s="53"/>
      <c r="AZ428" s="53"/>
      <c r="BA428" s="53"/>
      <c r="BB428" s="53"/>
      <c r="BC428" s="111">
        <f t="shared" si="79"/>
        <v>1089.1599999999999</v>
      </c>
      <c r="BD428" s="111">
        <f t="shared" si="80"/>
        <v>1633.7399999999998</v>
      </c>
    </row>
    <row r="429" spans="1:56" ht="15.75" x14ac:dyDescent="0.25">
      <c r="A429" s="53">
        <v>419</v>
      </c>
      <c r="B429" s="53"/>
      <c r="C429" s="53"/>
      <c r="D429" s="53" t="s">
        <v>135</v>
      </c>
      <c r="E429" s="53"/>
      <c r="F429" s="53"/>
      <c r="G429" s="53" t="s">
        <v>211</v>
      </c>
      <c r="H429" s="53" t="s">
        <v>557</v>
      </c>
      <c r="I429" s="85" t="s">
        <v>558</v>
      </c>
      <c r="J429" s="85" t="s">
        <v>708</v>
      </c>
      <c r="K429" s="85" t="s">
        <v>709</v>
      </c>
      <c r="L429" s="53" t="s">
        <v>216</v>
      </c>
      <c r="M429" s="53" t="s">
        <v>295</v>
      </c>
      <c r="N429" s="53"/>
      <c r="O429" s="85" t="s">
        <v>710</v>
      </c>
      <c r="P429" s="53">
        <v>1</v>
      </c>
      <c r="Q429" s="183">
        <v>2</v>
      </c>
      <c r="R429" s="84">
        <v>0.84</v>
      </c>
      <c r="S429" s="53"/>
      <c r="T429" s="53"/>
      <c r="U429" s="53">
        <v>3</v>
      </c>
      <c r="V429" s="53">
        <v>480</v>
      </c>
      <c r="W429" s="53"/>
      <c r="X429" s="53"/>
      <c r="Y429" s="53"/>
      <c r="Z429" s="53"/>
      <c r="AA429" s="53"/>
      <c r="AB429" s="53"/>
      <c r="AC429" s="137" t="s">
        <v>110</v>
      </c>
      <c r="AD429" s="138" t="s">
        <v>118</v>
      </c>
      <c r="AE429" s="83">
        <v>8760</v>
      </c>
      <c r="AF429" s="139">
        <v>1</v>
      </c>
      <c r="AG429" s="179">
        <v>1</v>
      </c>
      <c r="AH429" s="139">
        <v>1</v>
      </c>
      <c r="AI429" s="139">
        <v>1</v>
      </c>
      <c r="AJ429" s="83">
        <f t="shared" si="71"/>
        <v>3504</v>
      </c>
      <c r="AK429" s="83">
        <f t="shared" si="72"/>
        <v>5256</v>
      </c>
      <c r="AL429" s="104">
        <f t="shared" si="73"/>
        <v>1.7761904761904763</v>
      </c>
      <c r="AM429" s="104">
        <f t="shared" si="74"/>
        <v>1.7761904761904763</v>
      </c>
      <c r="AN429" s="83">
        <f t="shared" si="75"/>
        <v>6223.7714285714292</v>
      </c>
      <c r="AO429" s="83">
        <f t="shared" si="76"/>
        <v>9335.6571428571442</v>
      </c>
      <c r="AP429" s="83">
        <f t="shared" si="77"/>
        <v>21.236379442285717</v>
      </c>
      <c r="AQ429" s="83">
        <f t="shared" si="78"/>
        <v>31.854569163428575</v>
      </c>
      <c r="AR429" s="85"/>
      <c r="AS429" s="85"/>
      <c r="AT429" s="53"/>
      <c r="AU429" s="53"/>
      <c r="AV429" s="53"/>
      <c r="AW429" s="53"/>
      <c r="AX429" s="53"/>
      <c r="AY429" s="53"/>
      <c r="AZ429" s="53"/>
      <c r="BA429" s="53"/>
      <c r="BB429" s="53"/>
      <c r="BC429" s="111">
        <f t="shared" si="79"/>
        <v>6223.7714285714292</v>
      </c>
      <c r="BD429" s="111">
        <f t="shared" si="80"/>
        <v>9335.6571428571442</v>
      </c>
    </row>
    <row r="430" spans="1:56" ht="15.75" x14ac:dyDescent="0.25">
      <c r="A430" s="53">
        <v>420</v>
      </c>
      <c r="B430" s="53"/>
      <c r="C430" s="53"/>
      <c r="D430" s="53" t="s">
        <v>135</v>
      </c>
      <c r="E430" s="53"/>
      <c r="F430" s="53"/>
      <c r="G430" s="53" t="s">
        <v>211</v>
      </c>
      <c r="H430" s="53" t="s">
        <v>557</v>
      </c>
      <c r="I430" s="85" t="s">
        <v>558</v>
      </c>
      <c r="J430" s="85" t="s">
        <v>606</v>
      </c>
      <c r="K430" s="85" t="s">
        <v>607</v>
      </c>
      <c r="L430" s="53" t="s">
        <v>216</v>
      </c>
      <c r="M430" s="53" t="s">
        <v>295</v>
      </c>
      <c r="N430" s="53"/>
      <c r="O430" s="85" t="s">
        <v>608</v>
      </c>
      <c r="P430" s="53">
        <v>1</v>
      </c>
      <c r="Q430" s="183">
        <v>3</v>
      </c>
      <c r="R430" s="84">
        <v>0.875</v>
      </c>
      <c r="S430" s="53"/>
      <c r="T430" s="53"/>
      <c r="U430" s="53">
        <v>3</v>
      </c>
      <c r="V430" s="53">
        <v>480</v>
      </c>
      <c r="W430" s="53"/>
      <c r="X430" s="53"/>
      <c r="Y430" s="53"/>
      <c r="Z430" s="53"/>
      <c r="AA430" s="53"/>
      <c r="AB430" s="53"/>
      <c r="AC430" s="137" t="s">
        <v>110</v>
      </c>
      <c r="AD430" s="138" t="s">
        <v>118</v>
      </c>
      <c r="AE430" s="83">
        <v>8760</v>
      </c>
      <c r="AF430" s="139">
        <v>1</v>
      </c>
      <c r="AG430" s="179">
        <v>1</v>
      </c>
      <c r="AH430" s="139">
        <v>1</v>
      </c>
      <c r="AI430" s="139">
        <v>1</v>
      </c>
      <c r="AJ430" s="83">
        <f t="shared" si="71"/>
        <v>3504</v>
      </c>
      <c r="AK430" s="83">
        <f t="shared" si="72"/>
        <v>5256</v>
      </c>
      <c r="AL430" s="104">
        <f t="shared" si="73"/>
        <v>2.5577142857142858</v>
      </c>
      <c r="AM430" s="104">
        <f t="shared" si="74"/>
        <v>2.5577142857142858</v>
      </c>
      <c r="AN430" s="83">
        <f t="shared" si="75"/>
        <v>8962.2308571428584</v>
      </c>
      <c r="AO430" s="83">
        <f t="shared" si="76"/>
        <v>13443.346285714286</v>
      </c>
      <c r="AP430" s="182">
        <f t="shared" si="77"/>
        <v>30.580386396891431</v>
      </c>
      <c r="AQ430" s="182">
        <f t="shared" si="78"/>
        <v>45.870579595337148</v>
      </c>
      <c r="AR430" s="85"/>
      <c r="AS430" s="85"/>
      <c r="AT430" s="53"/>
      <c r="AU430" s="53"/>
      <c r="AV430" s="53"/>
      <c r="AW430" s="53"/>
      <c r="AX430" s="53"/>
      <c r="AY430" s="53"/>
      <c r="AZ430" s="53"/>
      <c r="BA430" s="53"/>
      <c r="BB430" s="53"/>
      <c r="BC430" s="111">
        <f t="shared" si="79"/>
        <v>8962.2308571428584</v>
      </c>
      <c r="BD430" s="111">
        <f t="shared" si="80"/>
        <v>13443.346285714286</v>
      </c>
    </row>
    <row r="431" spans="1:56" ht="15.75" x14ac:dyDescent="0.25">
      <c r="A431" s="53">
        <v>421</v>
      </c>
      <c r="B431" s="53"/>
      <c r="C431" s="53"/>
      <c r="D431" s="53" t="s">
        <v>135</v>
      </c>
      <c r="E431" s="53"/>
      <c r="F431" s="53"/>
      <c r="G431" s="53" t="s">
        <v>211</v>
      </c>
      <c r="H431" s="53" t="s">
        <v>557</v>
      </c>
      <c r="I431" s="85" t="s">
        <v>558</v>
      </c>
      <c r="J431" s="85" t="s">
        <v>593</v>
      </c>
      <c r="K431" s="85" t="s">
        <v>609</v>
      </c>
      <c r="L431" s="53" t="s">
        <v>216</v>
      </c>
      <c r="M431" s="53" t="s">
        <v>295</v>
      </c>
      <c r="N431" s="53"/>
      <c r="O431" s="85" t="s">
        <v>561</v>
      </c>
      <c r="P431" s="53">
        <v>1</v>
      </c>
      <c r="Q431" s="183">
        <v>3</v>
      </c>
      <c r="R431" s="84">
        <v>0.875</v>
      </c>
      <c r="S431" s="53"/>
      <c r="T431" s="53"/>
      <c r="U431" s="53">
        <v>3</v>
      </c>
      <c r="V431" s="53">
        <v>480</v>
      </c>
      <c r="W431" s="53"/>
      <c r="X431" s="53"/>
      <c r="Y431" s="53"/>
      <c r="Z431" s="53"/>
      <c r="AA431" s="53"/>
      <c r="AB431" s="53"/>
      <c r="AC431" s="137" t="s">
        <v>110</v>
      </c>
      <c r="AD431" s="138" t="s">
        <v>118</v>
      </c>
      <c r="AE431" s="83">
        <v>8760</v>
      </c>
      <c r="AF431" s="139">
        <v>1</v>
      </c>
      <c r="AG431" s="179">
        <v>1</v>
      </c>
      <c r="AH431" s="139">
        <v>1</v>
      </c>
      <c r="AI431" s="139">
        <v>1</v>
      </c>
      <c r="AJ431" s="83">
        <f t="shared" si="71"/>
        <v>3504</v>
      </c>
      <c r="AK431" s="83">
        <f t="shared" si="72"/>
        <v>5256</v>
      </c>
      <c r="AL431" s="104">
        <f t="shared" si="73"/>
        <v>2.5577142857142858</v>
      </c>
      <c r="AM431" s="104">
        <f t="shared" si="74"/>
        <v>2.5577142857142858</v>
      </c>
      <c r="AN431" s="83">
        <f t="shared" si="75"/>
        <v>8962.2308571428584</v>
      </c>
      <c r="AO431" s="83">
        <f t="shared" si="76"/>
        <v>13443.346285714286</v>
      </c>
      <c r="AP431" s="83">
        <f t="shared" si="77"/>
        <v>30.580386396891431</v>
      </c>
      <c r="AQ431" s="83">
        <f t="shared" si="78"/>
        <v>45.870579595337148</v>
      </c>
      <c r="AR431" s="85"/>
      <c r="AS431" s="85"/>
      <c r="AT431" s="53"/>
      <c r="AU431" s="53"/>
      <c r="AV431" s="53"/>
      <c r="AW431" s="53"/>
      <c r="AX431" s="53"/>
      <c r="AY431" s="53"/>
      <c r="AZ431" s="53"/>
      <c r="BA431" s="53"/>
      <c r="BB431" s="53"/>
      <c r="BC431" s="111">
        <f t="shared" si="79"/>
        <v>8962.2308571428584</v>
      </c>
      <c r="BD431" s="111">
        <f t="shared" si="80"/>
        <v>13443.346285714286</v>
      </c>
    </row>
    <row r="432" spans="1:56" ht="15.75" x14ac:dyDescent="0.25">
      <c r="A432" s="53">
        <v>422</v>
      </c>
      <c r="B432" s="53"/>
      <c r="C432" s="53"/>
      <c r="D432" s="53" t="s">
        <v>135</v>
      </c>
      <c r="E432" s="53"/>
      <c r="F432" s="53"/>
      <c r="G432" s="53" t="s">
        <v>211</v>
      </c>
      <c r="H432" s="53" t="s">
        <v>557</v>
      </c>
      <c r="I432" s="85" t="s">
        <v>558</v>
      </c>
      <c r="J432" s="85" t="s">
        <v>787</v>
      </c>
      <c r="K432" s="85" t="s">
        <v>788</v>
      </c>
      <c r="L432" s="53" t="s">
        <v>216</v>
      </c>
      <c r="M432" s="53" t="s">
        <v>295</v>
      </c>
      <c r="N432" s="53"/>
      <c r="O432" s="85" t="s">
        <v>789</v>
      </c>
      <c r="P432" s="53">
        <v>1</v>
      </c>
      <c r="Q432" s="183">
        <v>1</v>
      </c>
      <c r="R432" s="84">
        <v>0.82499999999999996</v>
      </c>
      <c r="S432" s="53"/>
      <c r="T432" s="53"/>
      <c r="U432" s="53">
        <v>3</v>
      </c>
      <c r="V432" s="53">
        <v>480</v>
      </c>
      <c r="W432" s="53"/>
      <c r="X432" s="53"/>
      <c r="Y432" s="53"/>
      <c r="Z432" s="53"/>
      <c r="AA432" s="53"/>
      <c r="AB432" s="53"/>
      <c r="AC432" s="137" t="s">
        <v>110</v>
      </c>
      <c r="AD432" s="138" t="s">
        <v>118</v>
      </c>
      <c r="AE432" s="83">
        <v>8760</v>
      </c>
      <c r="AF432" s="139">
        <v>1</v>
      </c>
      <c r="AG432" s="179">
        <v>1</v>
      </c>
      <c r="AH432" s="139">
        <v>1</v>
      </c>
      <c r="AI432" s="139">
        <v>1</v>
      </c>
      <c r="AJ432" s="83">
        <f t="shared" si="71"/>
        <v>3504</v>
      </c>
      <c r="AK432" s="83">
        <f t="shared" si="72"/>
        <v>5256</v>
      </c>
      <c r="AL432" s="104">
        <f t="shared" si="73"/>
        <v>0.90424242424242429</v>
      </c>
      <c r="AM432" s="104">
        <f t="shared" si="74"/>
        <v>0.90424242424242429</v>
      </c>
      <c r="AN432" s="83">
        <f t="shared" si="75"/>
        <v>3168.4654545454546</v>
      </c>
      <c r="AO432" s="83">
        <f t="shared" si="76"/>
        <v>4752.6981818181821</v>
      </c>
      <c r="AP432" s="182">
        <f t="shared" si="77"/>
        <v>10.811247716072726</v>
      </c>
      <c r="AQ432" s="182">
        <f t="shared" si="78"/>
        <v>16.216871574109092</v>
      </c>
      <c r="AR432" s="85"/>
      <c r="AS432" s="85"/>
      <c r="AT432" s="53"/>
      <c r="AU432" s="53"/>
      <c r="AV432" s="53"/>
      <c r="AW432" s="53"/>
      <c r="AX432" s="53"/>
      <c r="AY432" s="53"/>
      <c r="AZ432" s="53"/>
      <c r="BA432" s="53"/>
      <c r="BB432" s="53"/>
      <c r="BC432" s="111">
        <f t="shared" si="79"/>
        <v>3168.4654545454546</v>
      </c>
      <c r="BD432" s="111">
        <f t="shared" si="80"/>
        <v>4752.6981818181821</v>
      </c>
    </row>
    <row r="433" spans="1:56" ht="15.75" x14ac:dyDescent="0.25">
      <c r="A433" s="53">
        <v>423</v>
      </c>
      <c r="B433" s="53"/>
      <c r="C433" s="53"/>
      <c r="D433" s="53" t="s">
        <v>135</v>
      </c>
      <c r="E433" s="53"/>
      <c r="F433" s="53"/>
      <c r="G433" s="53" t="s">
        <v>211</v>
      </c>
      <c r="H433" s="53" t="s">
        <v>557</v>
      </c>
      <c r="I433" s="85" t="s">
        <v>558</v>
      </c>
      <c r="J433" s="85" t="s">
        <v>787</v>
      </c>
      <c r="K433" s="85" t="s">
        <v>868</v>
      </c>
      <c r="L433" s="53" t="s">
        <v>216</v>
      </c>
      <c r="M433" s="53" t="s">
        <v>295</v>
      </c>
      <c r="N433" s="53"/>
      <c r="O433" s="85" t="s">
        <v>869</v>
      </c>
      <c r="P433" s="53">
        <v>1</v>
      </c>
      <c r="Q433" s="183">
        <v>0.5</v>
      </c>
      <c r="R433" s="84">
        <v>0.8</v>
      </c>
      <c r="S433" s="53"/>
      <c r="T433" s="53"/>
      <c r="U433" s="53">
        <v>3</v>
      </c>
      <c r="V433" s="53">
        <v>480</v>
      </c>
      <c r="W433" s="53"/>
      <c r="X433" s="53"/>
      <c r="Y433" s="53"/>
      <c r="Z433" s="53"/>
      <c r="AA433" s="53"/>
      <c r="AB433" s="53"/>
      <c r="AC433" s="137" t="s">
        <v>110</v>
      </c>
      <c r="AD433" s="138" t="s">
        <v>118</v>
      </c>
      <c r="AE433" s="83">
        <v>8760</v>
      </c>
      <c r="AF433" s="139">
        <v>1</v>
      </c>
      <c r="AG433" s="179">
        <v>1</v>
      </c>
      <c r="AH433" s="139">
        <v>1</v>
      </c>
      <c r="AI433" s="139">
        <v>1</v>
      </c>
      <c r="AJ433" s="83">
        <f t="shared" si="71"/>
        <v>3504</v>
      </c>
      <c r="AK433" s="83">
        <f t="shared" si="72"/>
        <v>5256</v>
      </c>
      <c r="AL433" s="104">
        <f t="shared" si="73"/>
        <v>0.46625</v>
      </c>
      <c r="AM433" s="104">
        <f t="shared" si="74"/>
        <v>0.46625</v>
      </c>
      <c r="AN433" s="83">
        <f t="shared" si="75"/>
        <v>1633.74</v>
      </c>
      <c r="AO433" s="83">
        <f t="shared" si="76"/>
        <v>2450.61</v>
      </c>
      <c r="AP433" s="83">
        <f t="shared" si="77"/>
        <v>5.5745496036000004</v>
      </c>
      <c r="AQ433" s="83">
        <f t="shared" si="78"/>
        <v>8.3618244054000002</v>
      </c>
      <c r="AR433" s="85"/>
      <c r="AS433" s="85"/>
      <c r="AT433" s="53"/>
      <c r="AU433" s="53"/>
      <c r="AV433" s="53"/>
      <c r="AW433" s="53"/>
      <c r="AX433" s="53"/>
      <c r="AY433" s="53"/>
      <c r="AZ433" s="53"/>
      <c r="BA433" s="53"/>
      <c r="BB433" s="53"/>
      <c r="BC433" s="111">
        <f t="shared" si="79"/>
        <v>1633.74</v>
      </c>
      <c r="BD433" s="111">
        <f t="shared" si="80"/>
        <v>2450.61</v>
      </c>
    </row>
    <row r="434" spans="1:56" ht="15.75" x14ac:dyDescent="0.25">
      <c r="A434" s="53">
        <v>424</v>
      </c>
      <c r="B434" s="53"/>
      <c r="C434" s="53"/>
      <c r="D434" s="53" t="s">
        <v>135</v>
      </c>
      <c r="E434" s="53"/>
      <c r="F434" s="53"/>
      <c r="G434" s="53" t="s">
        <v>211</v>
      </c>
      <c r="H434" s="53" t="s">
        <v>557</v>
      </c>
      <c r="I434" s="85" t="s">
        <v>558</v>
      </c>
      <c r="J434" s="85" t="s">
        <v>610</v>
      </c>
      <c r="K434" s="85" t="s">
        <v>611</v>
      </c>
      <c r="L434" s="53" t="s">
        <v>216</v>
      </c>
      <c r="M434" s="53" t="s">
        <v>295</v>
      </c>
      <c r="N434" s="53"/>
      <c r="O434" s="85" t="s">
        <v>608</v>
      </c>
      <c r="P434" s="53">
        <v>1</v>
      </c>
      <c r="Q434" s="183">
        <v>3</v>
      </c>
      <c r="R434" s="84">
        <v>0.875</v>
      </c>
      <c r="S434" s="53"/>
      <c r="T434" s="53"/>
      <c r="U434" s="53">
        <v>3</v>
      </c>
      <c r="V434" s="53">
        <v>480</v>
      </c>
      <c r="W434" s="53"/>
      <c r="X434" s="53"/>
      <c r="Y434" s="53"/>
      <c r="Z434" s="53"/>
      <c r="AA434" s="53"/>
      <c r="AB434" s="53"/>
      <c r="AC434" s="137" t="s">
        <v>110</v>
      </c>
      <c r="AD434" s="138" t="s">
        <v>118</v>
      </c>
      <c r="AE434" s="83">
        <v>8760</v>
      </c>
      <c r="AF434" s="139">
        <v>1</v>
      </c>
      <c r="AG434" s="179">
        <v>1</v>
      </c>
      <c r="AH434" s="139">
        <v>1</v>
      </c>
      <c r="AI434" s="139">
        <v>1</v>
      </c>
      <c r="AJ434" s="83">
        <f t="shared" si="71"/>
        <v>3504</v>
      </c>
      <c r="AK434" s="83">
        <f t="shared" si="72"/>
        <v>5256</v>
      </c>
      <c r="AL434" s="104">
        <f t="shared" si="73"/>
        <v>2.5577142857142858</v>
      </c>
      <c r="AM434" s="104">
        <f t="shared" si="74"/>
        <v>2.5577142857142858</v>
      </c>
      <c r="AN434" s="83">
        <f t="shared" si="75"/>
        <v>8962.2308571428584</v>
      </c>
      <c r="AO434" s="83">
        <f t="shared" si="76"/>
        <v>13443.346285714286</v>
      </c>
      <c r="AP434" s="182">
        <f t="shared" si="77"/>
        <v>30.580386396891431</v>
      </c>
      <c r="AQ434" s="182">
        <f t="shared" si="78"/>
        <v>45.870579595337148</v>
      </c>
      <c r="AR434" s="85"/>
      <c r="AS434" s="85"/>
      <c r="AT434" s="53"/>
      <c r="AU434" s="53"/>
      <c r="AV434" s="53"/>
      <c r="AW434" s="53"/>
      <c r="AX434" s="53"/>
      <c r="AY434" s="53"/>
      <c r="AZ434" s="53"/>
      <c r="BA434" s="53"/>
      <c r="BB434" s="53"/>
      <c r="BC434" s="111">
        <f t="shared" si="79"/>
        <v>8962.2308571428584</v>
      </c>
      <c r="BD434" s="111">
        <f t="shared" si="80"/>
        <v>13443.346285714286</v>
      </c>
    </row>
    <row r="435" spans="1:56" ht="15.75" x14ac:dyDescent="0.25">
      <c r="A435" s="53">
        <v>425</v>
      </c>
      <c r="B435" s="53"/>
      <c r="C435" s="53"/>
      <c r="D435" s="53" t="s">
        <v>135</v>
      </c>
      <c r="E435" s="53"/>
      <c r="F435" s="53"/>
      <c r="G435" s="53" t="s">
        <v>211</v>
      </c>
      <c r="H435" s="53" t="s">
        <v>557</v>
      </c>
      <c r="I435" s="85" t="s">
        <v>558</v>
      </c>
      <c r="J435" s="85" t="s">
        <v>559</v>
      </c>
      <c r="K435" s="85" t="s">
        <v>560</v>
      </c>
      <c r="L435" s="53" t="s">
        <v>216</v>
      </c>
      <c r="M435" s="53" t="s">
        <v>295</v>
      </c>
      <c r="N435" s="53"/>
      <c r="O435" s="85" t="s">
        <v>561</v>
      </c>
      <c r="P435" s="53">
        <v>1</v>
      </c>
      <c r="Q435" s="183">
        <v>5</v>
      </c>
      <c r="R435" s="84">
        <v>0.875</v>
      </c>
      <c r="S435" s="53"/>
      <c r="T435" s="53"/>
      <c r="U435" s="53">
        <v>3</v>
      </c>
      <c r="V435" s="53">
        <v>480</v>
      </c>
      <c r="W435" s="53"/>
      <c r="X435" s="53"/>
      <c r="Y435" s="53"/>
      <c r="Z435" s="53"/>
      <c r="AA435" s="53"/>
      <c r="AB435" s="53"/>
      <c r="AC435" s="137" t="s">
        <v>110</v>
      </c>
      <c r="AD435" s="138" t="s">
        <v>118</v>
      </c>
      <c r="AE435" s="83">
        <v>8760</v>
      </c>
      <c r="AF435" s="139">
        <v>1</v>
      </c>
      <c r="AG435" s="179">
        <v>1</v>
      </c>
      <c r="AH435" s="139">
        <v>1</v>
      </c>
      <c r="AI435" s="139">
        <v>1</v>
      </c>
      <c r="AJ435" s="83">
        <f t="shared" si="71"/>
        <v>3504</v>
      </c>
      <c r="AK435" s="83">
        <f t="shared" si="72"/>
        <v>5256</v>
      </c>
      <c r="AL435" s="104">
        <f t="shared" si="73"/>
        <v>4.2628571428571425</v>
      </c>
      <c r="AM435" s="104">
        <f t="shared" si="74"/>
        <v>4.2628571428571425</v>
      </c>
      <c r="AN435" s="83">
        <f t="shared" si="75"/>
        <v>14937.051428571427</v>
      </c>
      <c r="AO435" s="83">
        <f t="shared" si="76"/>
        <v>22405.577142857142</v>
      </c>
      <c r="AP435" s="83">
        <f t="shared" si="77"/>
        <v>50.967310661485712</v>
      </c>
      <c r="AQ435" s="83">
        <f t="shared" si="78"/>
        <v>76.450965992228561</v>
      </c>
      <c r="AR435" s="85"/>
      <c r="AS435" s="85"/>
      <c r="AT435" s="53"/>
      <c r="AU435" s="53"/>
      <c r="AV435" s="53"/>
      <c r="AW435" s="53"/>
      <c r="AX435" s="53"/>
      <c r="AY435" s="53"/>
      <c r="AZ435" s="53"/>
      <c r="BA435" s="53"/>
      <c r="BB435" s="53"/>
      <c r="BC435" s="111">
        <f t="shared" si="79"/>
        <v>14937.051428571427</v>
      </c>
      <c r="BD435" s="111">
        <f t="shared" si="80"/>
        <v>22405.577142857142</v>
      </c>
    </row>
    <row r="436" spans="1:56" ht="15.75" x14ac:dyDescent="0.25">
      <c r="A436" s="53">
        <v>426</v>
      </c>
      <c r="B436" s="53"/>
      <c r="C436" s="53"/>
      <c r="D436" s="53" t="s">
        <v>135</v>
      </c>
      <c r="E436" s="53"/>
      <c r="F436" s="53"/>
      <c r="G436" s="53" t="s">
        <v>211</v>
      </c>
      <c r="H436" s="53" t="s">
        <v>557</v>
      </c>
      <c r="I436" s="85" t="s">
        <v>558</v>
      </c>
      <c r="J436" s="85" t="s">
        <v>559</v>
      </c>
      <c r="K436" s="85" t="s">
        <v>562</v>
      </c>
      <c r="L436" s="53" t="s">
        <v>216</v>
      </c>
      <c r="M436" s="53" t="s">
        <v>295</v>
      </c>
      <c r="N436" s="53"/>
      <c r="O436" s="85" t="s">
        <v>561</v>
      </c>
      <c r="P436" s="53">
        <v>1</v>
      </c>
      <c r="Q436" s="183">
        <v>5</v>
      </c>
      <c r="R436" s="84">
        <v>0.875</v>
      </c>
      <c r="S436" s="53"/>
      <c r="T436" s="53"/>
      <c r="U436" s="53">
        <v>3</v>
      </c>
      <c r="V436" s="53">
        <v>480</v>
      </c>
      <c r="W436" s="53"/>
      <c r="X436" s="53"/>
      <c r="Y436" s="53"/>
      <c r="Z436" s="53"/>
      <c r="AA436" s="53"/>
      <c r="AB436" s="53"/>
      <c r="AC436" s="137" t="s">
        <v>110</v>
      </c>
      <c r="AD436" s="138" t="s">
        <v>118</v>
      </c>
      <c r="AE436" s="83">
        <v>8760</v>
      </c>
      <c r="AF436" s="139">
        <v>1</v>
      </c>
      <c r="AG436" s="179">
        <v>1</v>
      </c>
      <c r="AH436" s="139">
        <v>1</v>
      </c>
      <c r="AI436" s="139">
        <v>1</v>
      </c>
      <c r="AJ436" s="83">
        <f t="shared" si="71"/>
        <v>3504</v>
      </c>
      <c r="AK436" s="83">
        <f t="shared" si="72"/>
        <v>5256</v>
      </c>
      <c r="AL436" s="104">
        <f t="shared" si="73"/>
        <v>4.2628571428571425</v>
      </c>
      <c r="AM436" s="104">
        <f t="shared" si="74"/>
        <v>4.2628571428571425</v>
      </c>
      <c r="AN436" s="83">
        <f t="shared" si="75"/>
        <v>14937.051428571427</v>
      </c>
      <c r="AO436" s="83">
        <f t="shared" si="76"/>
        <v>22405.577142857142</v>
      </c>
      <c r="AP436" s="182">
        <f t="shared" si="77"/>
        <v>50.967310661485712</v>
      </c>
      <c r="AQ436" s="182">
        <f t="shared" si="78"/>
        <v>76.450965992228561</v>
      </c>
      <c r="AR436" s="85"/>
      <c r="AS436" s="85"/>
      <c r="AT436" s="53"/>
      <c r="AU436" s="53"/>
      <c r="AV436" s="53"/>
      <c r="AW436" s="53"/>
      <c r="AX436" s="53"/>
      <c r="AY436" s="53"/>
      <c r="AZ436" s="53"/>
      <c r="BA436" s="53"/>
      <c r="BB436" s="53"/>
      <c r="BC436" s="111">
        <f t="shared" si="79"/>
        <v>14937.051428571427</v>
      </c>
      <c r="BD436" s="111">
        <f t="shared" si="80"/>
        <v>22405.577142857142</v>
      </c>
    </row>
    <row r="437" spans="1:56" ht="15.75" x14ac:dyDescent="0.25">
      <c r="A437" s="53">
        <v>427</v>
      </c>
      <c r="B437" s="53"/>
      <c r="C437" s="53"/>
      <c r="D437" s="53" t="s">
        <v>135</v>
      </c>
      <c r="E437" s="53"/>
      <c r="F437" s="53"/>
      <c r="G437" s="53" t="s">
        <v>211</v>
      </c>
      <c r="H437" s="53" t="s">
        <v>557</v>
      </c>
      <c r="I437" s="85" t="s">
        <v>558</v>
      </c>
      <c r="J437" s="85" t="s">
        <v>705</v>
      </c>
      <c r="K437" s="85" t="s">
        <v>706</v>
      </c>
      <c r="L437" s="53" t="s">
        <v>216</v>
      </c>
      <c r="M437" s="53" t="s">
        <v>295</v>
      </c>
      <c r="N437" s="53"/>
      <c r="O437" s="85" t="s">
        <v>707</v>
      </c>
      <c r="P437" s="53">
        <v>1</v>
      </c>
      <c r="Q437" s="183">
        <v>2</v>
      </c>
      <c r="R437" s="84">
        <v>0.84</v>
      </c>
      <c r="S437" s="53"/>
      <c r="T437" s="53"/>
      <c r="U437" s="53">
        <v>3</v>
      </c>
      <c r="V437" s="53">
        <v>480</v>
      </c>
      <c r="W437" s="53"/>
      <c r="X437" s="53"/>
      <c r="Y437" s="53"/>
      <c r="Z437" s="53"/>
      <c r="AA437" s="53"/>
      <c r="AB437" s="53"/>
      <c r="AC437" s="137" t="s">
        <v>110</v>
      </c>
      <c r="AD437" s="138" t="s">
        <v>118</v>
      </c>
      <c r="AE437" s="83">
        <v>8760</v>
      </c>
      <c r="AF437" s="139">
        <v>1</v>
      </c>
      <c r="AG437" s="179">
        <v>1</v>
      </c>
      <c r="AH437" s="139">
        <v>1</v>
      </c>
      <c r="AI437" s="139">
        <v>1</v>
      </c>
      <c r="AJ437" s="83">
        <f t="shared" si="71"/>
        <v>3504</v>
      </c>
      <c r="AK437" s="83">
        <f t="shared" si="72"/>
        <v>5256</v>
      </c>
      <c r="AL437" s="104">
        <f t="shared" si="73"/>
        <v>1.7761904761904763</v>
      </c>
      <c r="AM437" s="104">
        <f t="shared" si="74"/>
        <v>1.7761904761904763</v>
      </c>
      <c r="AN437" s="83">
        <f t="shared" si="75"/>
        <v>6223.7714285714292</v>
      </c>
      <c r="AO437" s="83">
        <f t="shared" si="76"/>
        <v>9335.6571428571442</v>
      </c>
      <c r="AP437" s="83">
        <f t="shared" si="77"/>
        <v>21.236379442285717</v>
      </c>
      <c r="AQ437" s="83">
        <f t="shared" si="78"/>
        <v>31.854569163428575</v>
      </c>
      <c r="AR437" s="85"/>
      <c r="AS437" s="85"/>
      <c r="AT437" s="53"/>
      <c r="AU437" s="53"/>
      <c r="AV437" s="53"/>
      <c r="AW437" s="53"/>
      <c r="AX437" s="53"/>
      <c r="AY437" s="53"/>
      <c r="AZ437" s="53"/>
      <c r="BA437" s="53"/>
      <c r="BB437" s="53"/>
      <c r="BC437" s="111">
        <f t="shared" si="79"/>
        <v>6223.7714285714292</v>
      </c>
      <c r="BD437" s="111">
        <f t="shared" si="80"/>
        <v>9335.6571428571442</v>
      </c>
    </row>
    <row r="438" spans="1:56" ht="15.75" x14ac:dyDescent="0.25">
      <c r="A438" s="53">
        <v>428</v>
      </c>
      <c r="B438" s="53"/>
      <c r="C438" s="53"/>
      <c r="D438" s="53" t="s">
        <v>135</v>
      </c>
      <c r="E438" s="53"/>
      <c r="F438" s="53"/>
      <c r="G438" s="53" t="s">
        <v>211</v>
      </c>
      <c r="H438" s="53" t="s">
        <v>557</v>
      </c>
      <c r="I438" s="85" t="s">
        <v>558</v>
      </c>
      <c r="J438" s="85" t="s">
        <v>921</v>
      </c>
      <c r="K438" s="85" t="s">
        <v>922</v>
      </c>
      <c r="L438" s="53" t="s">
        <v>216</v>
      </c>
      <c r="M438" s="53" t="s">
        <v>295</v>
      </c>
      <c r="N438" s="53"/>
      <c r="O438" s="85" t="s">
        <v>923</v>
      </c>
      <c r="P438" s="53">
        <v>1</v>
      </c>
      <c r="Q438" s="183">
        <v>0.25</v>
      </c>
      <c r="R438" s="84">
        <v>0.8</v>
      </c>
      <c r="S438" s="53"/>
      <c r="T438" s="53"/>
      <c r="U438" s="53">
        <v>3</v>
      </c>
      <c r="V438" s="53">
        <v>480</v>
      </c>
      <c r="W438" s="53"/>
      <c r="X438" s="53"/>
      <c r="Y438" s="53"/>
      <c r="Z438" s="53"/>
      <c r="AA438" s="53"/>
      <c r="AB438" s="53"/>
      <c r="AC438" s="137" t="s">
        <v>110</v>
      </c>
      <c r="AD438" s="138" t="s">
        <v>118</v>
      </c>
      <c r="AE438" s="83">
        <v>8760</v>
      </c>
      <c r="AF438" s="139">
        <v>1</v>
      </c>
      <c r="AG438" s="179">
        <v>1</v>
      </c>
      <c r="AH438" s="139">
        <v>1</v>
      </c>
      <c r="AI438" s="139">
        <v>1</v>
      </c>
      <c r="AJ438" s="83">
        <f t="shared" si="71"/>
        <v>3504</v>
      </c>
      <c r="AK438" s="83">
        <f t="shared" si="72"/>
        <v>5256</v>
      </c>
      <c r="AL438" s="104">
        <f t="shared" si="73"/>
        <v>0.233125</v>
      </c>
      <c r="AM438" s="104">
        <f t="shared" si="74"/>
        <v>0.233125</v>
      </c>
      <c r="AN438" s="83">
        <f t="shared" si="75"/>
        <v>816.87</v>
      </c>
      <c r="AO438" s="83">
        <f t="shared" si="76"/>
        <v>1225.3050000000001</v>
      </c>
      <c r="AP438" s="182">
        <f t="shared" si="77"/>
        <v>2.7872748018000002</v>
      </c>
      <c r="AQ438" s="182">
        <f t="shared" si="78"/>
        <v>4.1809122027000001</v>
      </c>
      <c r="AR438" s="85"/>
      <c r="AS438" s="85"/>
      <c r="AT438" s="53"/>
      <c r="AU438" s="53"/>
      <c r="AV438" s="53"/>
      <c r="AW438" s="53"/>
      <c r="AX438" s="53"/>
      <c r="AY438" s="53"/>
      <c r="AZ438" s="53"/>
      <c r="BA438" s="53"/>
      <c r="BB438" s="53"/>
      <c r="BC438" s="111">
        <f t="shared" si="79"/>
        <v>816.87</v>
      </c>
      <c r="BD438" s="111">
        <f t="shared" si="80"/>
        <v>1225.3050000000001</v>
      </c>
    </row>
    <row r="439" spans="1:56" ht="15.75" x14ac:dyDescent="0.25">
      <c r="A439" s="53">
        <v>429</v>
      </c>
      <c r="B439" s="53"/>
      <c r="C439" s="53"/>
      <c r="D439" s="53" t="s">
        <v>135</v>
      </c>
      <c r="E439" s="53"/>
      <c r="F439" s="53"/>
      <c r="G439" s="53" t="s">
        <v>211</v>
      </c>
      <c r="H439" s="53" t="s">
        <v>557</v>
      </c>
      <c r="I439" s="85" t="s">
        <v>558</v>
      </c>
      <c r="J439" s="85" t="s">
        <v>839</v>
      </c>
      <c r="K439" s="85" t="s">
        <v>840</v>
      </c>
      <c r="L439" s="53" t="s">
        <v>216</v>
      </c>
      <c r="M439" s="53" t="s">
        <v>295</v>
      </c>
      <c r="N439" s="53"/>
      <c r="O439" s="85" t="s">
        <v>841</v>
      </c>
      <c r="P439" s="53">
        <v>1</v>
      </c>
      <c r="Q439" s="183">
        <v>0.75</v>
      </c>
      <c r="R439" s="84">
        <v>0.8</v>
      </c>
      <c r="S439" s="53"/>
      <c r="T439" s="53"/>
      <c r="U439" s="53">
        <v>3</v>
      </c>
      <c r="V439" s="53">
        <v>480</v>
      </c>
      <c r="W439" s="53"/>
      <c r="X439" s="53"/>
      <c r="Y439" s="53"/>
      <c r="Z439" s="53"/>
      <c r="AA439" s="53"/>
      <c r="AB439" s="53"/>
      <c r="AC439" s="137" t="s">
        <v>110</v>
      </c>
      <c r="AD439" s="138" t="s">
        <v>118</v>
      </c>
      <c r="AE439" s="83">
        <v>8760</v>
      </c>
      <c r="AF439" s="139">
        <v>1</v>
      </c>
      <c r="AG439" s="179">
        <v>1</v>
      </c>
      <c r="AH439" s="139">
        <v>1</v>
      </c>
      <c r="AI439" s="139">
        <v>1</v>
      </c>
      <c r="AJ439" s="83">
        <f t="shared" si="71"/>
        <v>3504</v>
      </c>
      <c r="AK439" s="83">
        <f t="shared" si="72"/>
        <v>5256</v>
      </c>
      <c r="AL439" s="104">
        <f t="shared" si="73"/>
        <v>0.69937499999999997</v>
      </c>
      <c r="AM439" s="104">
        <f t="shared" si="74"/>
        <v>0.69937499999999997</v>
      </c>
      <c r="AN439" s="83">
        <f t="shared" si="75"/>
        <v>2450.6099999999997</v>
      </c>
      <c r="AO439" s="83">
        <f t="shared" si="76"/>
        <v>3675.915</v>
      </c>
      <c r="AP439" s="83">
        <f t="shared" si="77"/>
        <v>8.3618244053999984</v>
      </c>
      <c r="AQ439" s="83">
        <f t="shared" si="78"/>
        <v>12.542736608099998</v>
      </c>
      <c r="AR439" s="85"/>
      <c r="AS439" s="85"/>
      <c r="AT439" s="53"/>
      <c r="AU439" s="53"/>
      <c r="AV439" s="53"/>
      <c r="AW439" s="53"/>
      <c r="AX439" s="53"/>
      <c r="AY439" s="53"/>
      <c r="AZ439" s="53"/>
      <c r="BA439" s="53"/>
      <c r="BB439" s="53"/>
      <c r="BC439" s="111">
        <f t="shared" si="79"/>
        <v>2450.6099999999997</v>
      </c>
      <c r="BD439" s="111">
        <f t="shared" si="80"/>
        <v>3675.915</v>
      </c>
    </row>
    <row r="440" spans="1:56" ht="15.75" x14ac:dyDescent="0.25">
      <c r="A440" s="53">
        <v>430</v>
      </c>
      <c r="B440" s="53"/>
      <c r="C440" s="53"/>
      <c r="D440" s="53" t="s">
        <v>135</v>
      </c>
      <c r="E440" s="53"/>
      <c r="F440" s="53"/>
      <c r="G440" s="53" t="s">
        <v>211</v>
      </c>
      <c r="H440" s="53" t="s">
        <v>557</v>
      </c>
      <c r="I440" s="85" t="s">
        <v>558</v>
      </c>
      <c r="J440" s="85" t="s">
        <v>839</v>
      </c>
      <c r="K440" s="85" t="s">
        <v>842</v>
      </c>
      <c r="L440" s="53" t="s">
        <v>216</v>
      </c>
      <c r="M440" s="53" t="s">
        <v>295</v>
      </c>
      <c r="N440" s="53"/>
      <c r="O440" s="85" t="s">
        <v>841</v>
      </c>
      <c r="P440" s="53">
        <v>1</v>
      </c>
      <c r="Q440" s="183">
        <v>0.75</v>
      </c>
      <c r="R440" s="84">
        <v>0.8</v>
      </c>
      <c r="S440" s="53"/>
      <c r="T440" s="53"/>
      <c r="U440" s="53">
        <v>3</v>
      </c>
      <c r="V440" s="53">
        <v>480</v>
      </c>
      <c r="W440" s="53"/>
      <c r="X440" s="53"/>
      <c r="Y440" s="53"/>
      <c r="Z440" s="53"/>
      <c r="AA440" s="53"/>
      <c r="AB440" s="53"/>
      <c r="AC440" s="137" t="s">
        <v>110</v>
      </c>
      <c r="AD440" s="138" t="s">
        <v>118</v>
      </c>
      <c r="AE440" s="83">
        <v>8760</v>
      </c>
      <c r="AF440" s="139">
        <v>1</v>
      </c>
      <c r="AG440" s="179">
        <v>1</v>
      </c>
      <c r="AH440" s="139">
        <v>1</v>
      </c>
      <c r="AI440" s="139">
        <v>1</v>
      </c>
      <c r="AJ440" s="83">
        <f t="shared" si="71"/>
        <v>3504</v>
      </c>
      <c r="AK440" s="83">
        <f t="shared" si="72"/>
        <v>5256</v>
      </c>
      <c r="AL440" s="104">
        <f t="shared" si="73"/>
        <v>0.69937499999999997</v>
      </c>
      <c r="AM440" s="104">
        <f t="shared" si="74"/>
        <v>0.69937499999999997</v>
      </c>
      <c r="AN440" s="83">
        <f t="shared" si="75"/>
        <v>2450.6099999999997</v>
      </c>
      <c r="AO440" s="83">
        <f t="shared" si="76"/>
        <v>3675.915</v>
      </c>
      <c r="AP440" s="182">
        <f t="shared" si="77"/>
        <v>8.3618244053999984</v>
      </c>
      <c r="AQ440" s="182">
        <f t="shared" si="78"/>
        <v>12.542736608099998</v>
      </c>
      <c r="AR440" s="85"/>
      <c r="AS440" s="85"/>
      <c r="AT440" s="53"/>
      <c r="AU440" s="53"/>
      <c r="AV440" s="53"/>
      <c r="AW440" s="53"/>
      <c r="AX440" s="53"/>
      <c r="AY440" s="53"/>
      <c r="AZ440" s="53"/>
      <c r="BA440" s="53"/>
      <c r="BB440" s="53"/>
      <c r="BC440" s="111">
        <f t="shared" si="79"/>
        <v>2450.6099999999997</v>
      </c>
      <c r="BD440" s="111">
        <f t="shared" si="80"/>
        <v>3675.915</v>
      </c>
    </row>
    <row r="441" spans="1:56" ht="15.75" x14ac:dyDescent="0.25">
      <c r="A441" s="53">
        <v>431</v>
      </c>
      <c r="B441" s="53"/>
      <c r="C441" s="53"/>
      <c r="D441" s="53" t="s">
        <v>135</v>
      </c>
      <c r="E441" s="53"/>
      <c r="F441" s="53"/>
      <c r="G441" s="53" t="s">
        <v>211</v>
      </c>
      <c r="H441" s="53" t="s">
        <v>557</v>
      </c>
      <c r="I441" s="85" t="s">
        <v>558</v>
      </c>
      <c r="J441" s="85" t="s">
        <v>839</v>
      </c>
      <c r="K441" s="85" t="s">
        <v>843</v>
      </c>
      <c r="L441" s="53" t="s">
        <v>216</v>
      </c>
      <c r="M441" s="53" t="s">
        <v>295</v>
      </c>
      <c r="N441" s="53"/>
      <c r="O441" s="85" t="s">
        <v>841</v>
      </c>
      <c r="P441" s="53">
        <v>1</v>
      </c>
      <c r="Q441" s="183">
        <v>0.75</v>
      </c>
      <c r="R441" s="84">
        <v>0.8</v>
      </c>
      <c r="S441" s="53"/>
      <c r="T441" s="53"/>
      <c r="U441" s="53">
        <v>3</v>
      </c>
      <c r="V441" s="53">
        <v>480</v>
      </c>
      <c r="W441" s="53"/>
      <c r="X441" s="53"/>
      <c r="Y441" s="53"/>
      <c r="Z441" s="53"/>
      <c r="AA441" s="53"/>
      <c r="AB441" s="53"/>
      <c r="AC441" s="137" t="s">
        <v>110</v>
      </c>
      <c r="AD441" s="138" t="s">
        <v>118</v>
      </c>
      <c r="AE441" s="83">
        <v>8760</v>
      </c>
      <c r="AF441" s="139">
        <v>1</v>
      </c>
      <c r="AG441" s="179">
        <v>1</v>
      </c>
      <c r="AH441" s="139">
        <v>1</v>
      </c>
      <c r="AI441" s="139">
        <v>1</v>
      </c>
      <c r="AJ441" s="83">
        <f t="shared" si="71"/>
        <v>3504</v>
      </c>
      <c r="AK441" s="83">
        <f t="shared" si="72"/>
        <v>5256</v>
      </c>
      <c r="AL441" s="104">
        <f t="shared" si="73"/>
        <v>0.69937499999999997</v>
      </c>
      <c r="AM441" s="104">
        <f t="shared" si="74"/>
        <v>0.69937499999999997</v>
      </c>
      <c r="AN441" s="83">
        <f t="shared" si="75"/>
        <v>2450.6099999999997</v>
      </c>
      <c r="AO441" s="83">
        <f t="shared" si="76"/>
        <v>3675.915</v>
      </c>
      <c r="AP441" s="83">
        <f t="shared" si="77"/>
        <v>8.3618244053999984</v>
      </c>
      <c r="AQ441" s="83">
        <f t="shared" si="78"/>
        <v>12.542736608099998</v>
      </c>
      <c r="AR441" s="85"/>
      <c r="AS441" s="85"/>
      <c r="AT441" s="53"/>
      <c r="AU441" s="53"/>
      <c r="AV441" s="53"/>
      <c r="AW441" s="53"/>
      <c r="AX441" s="53"/>
      <c r="AY441" s="53"/>
      <c r="AZ441" s="53"/>
      <c r="BA441" s="53"/>
      <c r="BB441" s="53"/>
      <c r="BC441" s="111">
        <f t="shared" si="79"/>
        <v>2450.6099999999997</v>
      </c>
      <c r="BD441" s="111">
        <f t="shared" si="80"/>
        <v>3675.915</v>
      </c>
    </row>
    <row r="442" spans="1:56" ht="15.75" x14ac:dyDescent="0.25">
      <c r="A442" s="53">
        <v>432</v>
      </c>
      <c r="B442" s="53"/>
      <c r="C442" s="53"/>
      <c r="D442" s="53" t="s">
        <v>135</v>
      </c>
      <c r="E442" s="53"/>
      <c r="F442" s="53"/>
      <c r="G442" s="53" t="s">
        <v>211</v>
      </c>
      <c r="H442" s="53" t="s">
        <v>557</v>
      </c>
      <c r="I442" s="85" t="s">
        <v>558</v>
      </c>
      <c r="J442" s="85" t="s">
        <v>606</v>
      </c>
      <c r="K442" s="85" t="s">
        <v>763</v>
      </c>
      <c r="L442" s="53" t="s">
        <v>216</v>
      </c>
      <c r="M442" s="53" t="s">
        <v>295</v>
      </c>
      <c r="N442" s="53"/>
      <c r="O442" s="85" t="s">
        <v>764</v>
      </c>
      <c r="P442" s="53">
        <v>1</v>
      </c>
      <c r="Q442" s="183">
        <v>1</v>
      </c>
      <c r="R442" s="84">
        <v>0.82499999999999996</v>
      </c>
      <c r="S442" s="53"/>
      <c r="T442" s="53"/>
      <c r="U442" s="53">
        <v>3</v>
      </c>
      <c r="V442" s="53">
        <v>480</v>
      </c>
      <c r="W442" s="53"/>
      <c r="X442" s="53"/>
      <c r="Y442" s="53"/>
      <c r="Z442" s="53"/>
      <c r="AA442" s="53"/>
      <c r="AB442" s="53"/>
      <c r="AC442" s="137" t="s">
        <v>110</v>
      </c>
      <c r="AD442" s="138" t="s">
        <v>118</v>
      </c>
      <c r="AE442" s="83">
        <v>8760</v>
      </c>
      <c r="AF442" s="139">
        <v>1</v>
      </c>
      <c r="AG442" s="179">
        <v>1</v>
      </c>
      <c r="AH442" s="139">
        <v>1</v>
      </c>
      <c r="AI442" s="139">
        <v>1</v>
      </c>
      <c r="AJ442" s="83">
        <f t="shared" si="71"/>
        <v>3504</v>
      </c>
      <c r="AK442" s="83">
        <f t="shared" si="72"/>
        <v>5256</v>
      </c>
      <c r="AL442" s="104">
        <f t="shared" si="73"/>
        <v>0.90424242424242429</v>
      </c>
      <c r="AM442" s="104">
        <f t="shared" si="74"/>
        <v>0.90424242424242429</v>
      </c>
      <c r="AN442" s="83">
        <f t="shared" si="75"/>
        <v>3168.4654545454546</v>
      </c>
      <c r="AO442" s="83">
        <f t="shared" si="76"/>
        <v>4752.6981818181821</v>
      </c>
      <c r="AP442" s="182">
        <f t="shared" si="77"/>
        <v>10.811247716072726</v>
      </c>
      <c r="AQ442" s="182">
        <f t="shared" si="78"/>
        <v>16.216871574109092</v>
      </c>
      <c r="AR442" s="85"/>
      <c r="AS442" s="85"/>
      <c r="AT442" s="53"/>
      <c r="AU442" s="53"/>
      <c r="AV442" s="53"/>
      <c r="AW442" s="53"/>
      <c r="AX442" s="53"/>
      <c r="AY442" s="53"/>
      <c r="AZ442" s="53"/>
      <c r="BA442" s="53"/>
      <c r="BB442" s="53"/>
      <c r="BC442" s="111">
        <f t="shared" si="79"/>
        <v>3168.4654545454546</v>
      </c>
      <c r="BD442" s="111">
        <f t="shared" si="80"/>
        <v>4752.6981818181821</v>
      </c>
    </row>
    <row r="443" spans="1:56" ht="15.75" x14ac:dyDescent="0.25">
      <c r="A443" s="53">
        <v>433</v>
      </c>
      <c r="B443" s="53"/>
      <c r="C443" s="53"/>
      <c r="D443" s="53" t="s">
        <v>135</v>
      </c>
      <c r="E443" s="53"/>
      <c r="F443" s="53"/>
      <c r="G443" s="53" t="s">
        <v>211</v>
      </c>
      <c r="H443" s="53" t="s">
        <v>557</v>
      </c>
      <c r="I443" s="85" t="s">
        <v>558</v>
      </c>
      <c r="J443" s="85" t="s">
        <v>593</v>
      </c>
      <c r="K443" s="85" t="s">
        <v>594</v>
      </c>
      <c r="L443" s="53" t="s">
        <v>216</v>
      </c>
      <c r="M443" s="53" t="s">
        <v>295</v>
      </c>
      <c r="N443" s="53"/>
      <c r="O443" s="85" t="s">
        <v>595</v>
      </c>
      <c r="P443" s="53">
        <v>1</v>
      </c>
      <c r="Q443" s="183">
        <v>3</v>
      </c>
      <c r="R443" s="84">
        <v>0.875</v>
      </c>
      <c r="S443" s="53"/>
      <c r="T443" s="53"/>
      <c r="U443" s="53">
        <v>3</v>
      </c>
      <c r="V443" s="53">
        <v>480</v>
      </c>
      <c r="W443" s="53"/>
      <c r="X443" s="53"/>
      <c r="Y443" s="53"/>
      <c r="Z443" s="53"/>
      <c r="AA443" s="53"/>
      <c r="AB443" s="53"/>
      <c r="AC443" s="137" t="s">
        <v>110</v>
      </c>
      <c r="AD443" s="138" t="s">
        <v>118</v>
      </c>
      <c r="AE443" s="83">
        <v>8760</v>
      </c>
      <c r="AF443" s="139">
        <v>1</v>
      </c>
      <c r="AG443" s="179">
        <v>1</v>
      </c>
      <c r="AH443" s="139">
        <v>1</v>
      </c>
      <c r="AI443" s="139">
        <v>1</v>
      </c>
      <c r="AJ443" s="83">
        <f t="shared" si="71"/>
        <v>3504</v>
      </c>
      <c r="AK443" s="83">
        <f t="shared" si="72"/>
        <v>5256</v>
      </c>
      <c r="AL443" s="104">
        <f t="shared" si="73"/>
        <v>2.5577142857142858</v>
      </c>
      <c r="AM443" s="104">
        <f t="shared" si="74"/>
        <v>2.5577142857142858</v>
      </c>
      <c r="AN443" s="83">
        <f t="shared" si="75"/>
        <v>8962.2308571428584</v>
      </c>
      <c r="AO443" s="83">
        <f t="shared" si="76"/>
        <v>13443.346285714286</v>
      </c>
      <c r="AP443" s="83">
        <f t="shared" si="77"/>
        <v>30.580386396891431</v>
      </c>
      <c r="AQ443" s="83">
        <f t="shared" si="78"/>
        <v>45.870579595337148</v>
      </c>
      <c r="AR443" s="85"/>
      <c r="AS443" s="85"/>
      <c r="AT443" s="53"/>
      <c r="AU443" s="53"/>
      <c r="AV443" s="53"/>
      <c r="AW443" s="53"/>
      <c r="AX443" s="53"/>
      <c r="AY443" s="53"/>
      <c r="AZ443" s="53"/>
      <c r="BA443" s="53"/>
      <c r="BB443" s="53"/>
      <c r="BC443" s="111">
        <f t="shared" si="79"/>
        <v>8962.2308571428584</v>
      </c>
      <c r="BD443" s="111">
        <f t="shared" si="80"/>
        <v>13443.346285714286</v>
      </c>
    </row>
    <row r="444" spans="1:56" ht="15.75" x14ac:dyDescent="0.25">
      <c r="A444" s="53">
        <v>434</v>
      </c>
      <c r="B444" s="53"/>
      <c r="C444" s="53"/>
      <c r="D444" s="53" t="s">
        <v>135</v>
      </c>
      <c r="E444" s="53"/>
      <c r="F444" s="53"/>
      <c r="G444" s="53" t="s">
        <v>211</v>
      </c>
      <c r="H444" s="53" t="s">
        <v>557</v>
      </c>
      <c r="I444" s="85" t="s">
        <v>558</v>
      </c>
      <c r="J444" s="85" t="s">
        <v>765</v>
      </c>
      <c r="K444" s="85" t="s">
        <v>896</v>
      </c>
      <c r="L444" s="53" t="s">
        <v>216</v>
      </c>
      <c r="M444" s="53" t="s">
        <v>295</v>
      </c>
      <c r="N444" s="53"/>
      <c r="O444" s="85" t="s">
        <v>897</v>
      </c>
      <c r="P444" s="53">
        <v>1</v>
      </c>
      <c r="Q444" s="183">
        <v>0.25</v>
      </c>
      <c r="R444" s="84">
        <v>0.8</v>
      </c>
      <c r="S444" s="53"/>
      <c r="T444" s="53"/>
      <c r="U444" s="53">
        <v>3</v>
      </c>
      <c r="V444" s="53">
        <v>480</v>
      </c>
      <c r="W444" s="53"/>
      <c r="X444" s="53"/>
      <c r="Y444" s="53"/>
      <c r="Z444" s="53"/>
      <c r="AA444" s="53"/>
      <c r="AB444" s="53"/>
      <c r="AC444" s="137" t="s">
        <v>110</v>
      </c>
      <c r="AD444" s="138" t="s">
        <v>118</v>
      </c>
      <c r="AE444" s="83">
        <v>8760</v>
      </c>
      <c r="AF444" s="139">
        <v>1</v>
      </c>
      <c r="AG444" s="179">
        <v>1</v>
      </c>
      <c r="AH444" s="139">
        <v>1</v>
      </c>
      <c r="AI444" s="139">
        <v>1</v>
      </c>
      <c r="AJ444" s="83">
        <f t="shared" si="71"/>
        <v>3504</v>
      </c>
      <c r="AK444" s="83">
        <f t="shared" si="72"/>
        <v>5256</v>
      </c>
      <c r="AL444" s="104">
        <f t="shared" si="73"/>
        <v>0.233125</v>
      </c>
      <c r="AM444" s="104">
        <f t="shared" si="74"/>
        <v>0.233125</v>
      </c>
      <c r="AN444" s="83">
        <f t="shared" si="75"/>
        <v>816.87</v>
      </c>
      <c r="AO444" s="83">
        <f t="shared" si="76"/>
        <v>1225.3050000000001</v>
      </c>
      <c r="AP444" s="182">
        <f t="shared" si="77"/>
        <v>2.7872748018000002</v>
      </c>
      <c r="AQ444" s="182">
        <f t="shared" si="78"/>
        <v>4.1809122027000001</v>
      </c>
      <c r="AR444" s="85"/>
      <c r="AS444" s="85"/>
      <c r="AT444" s="53"/>
      <c r="AU444" s="53"/>
      <c r="AV444" s="53"/>
      <c r="AW444" s="53"/>
      <c r="AX444" s="53"/>
      <c r="AY444" s="53"/>
      <c r="AZ444" s="53"/>
      <c r="BA444" s="53"/>
      <c r="BB444" s="53"/>
      <c r="BC444" s="111">
        <f t="shared" si="79"/>
        <v>816.87</v>
      </c>
      <c r="BD444" s="111">
        <f t="shared" si="80"/>
        <v>1225.3050000000001</v>
      </c>
    </row>
    <row r="445" spans="1:56" ht="15.75" x14ac:dyDescent="0.25">
      <c r="A445" s="53">
        <v>435</v>
      </c>
      <c r="B445" s="53"/>
      <c r="C445" s="53"/>
      <c r="D445" s="53" t="s">
        <v>135</v>
      </c>
      <c r="E445" s="53"/>
      <c r="F445" s="53"/>
      <c r="G445" s="53" t="s">
        <v>211</v>
      </c>
      <c r="H445" s="53" t="s">
        <v>557</v>
      </c>
      <c r="I445" s="85" t="s">
        <v>558</v>
      </c>
      <c r="J445" s="85" t="s">
        <v>765</v>
      </c>
      <c r="K445" s="85" t="s">
        <v>898</v>
      </c>
      <c r="L445" s="53" t="s">
        <v>216</v>
      </c>
      <c r="M445" s="53" t="s">
        <v>295</v>
      </c>
      <c r="N445" s="53"/>
      <c r="O445" s="85" t="s">
        <v>897</v>
      </c>
      <c r="P445" s="53">
        <v>1</v>
      </c>
      <c r="Q445" s="183">
        <v>0.25</v>
      </c>
      <c r="R445" s="84">
        <v>0.8</v>
      </c>
      <c r="S445" s="53"/>
      <c r="T445" s="53"/>
      <c r="U445" s="53">
        <v>3</v>
      </c>
      <c r="V445" s="53">
        <v>480</v>
      </c>
      <c r="W445" s="53"/>
      <c r="X445" s="53"/>
      <c r="Y445" s="53"/>
      <c r="Z445" s="53"/>
      <c r="AA445" s="53"/>
      <c r="AB445" s="53"/>
      <c r="AC445" s="137" t="s">
        <v>110</v>
      </c>
      <c r="AD445" s="138" t="s">
        <v>118</v>
      </c>
      <c r="AE445" s="83">
        <v>8760</v>
      </c>
      <c r="AF445" s="139">
        <v>1</v>
      </c>
      <c r="AG445" s="179">
        <v>1</v>
      </c>
      <c r="AH445" s="139">
        <v>1</v>
      </c>
      <c r="AI445" s="139">
        <v>1</v>
      </c>
      <c r="AJ445" s="83">
        <f t="shared" si="71"/>
        <v>3504</v>
      </c>
      <c r="AK445" s="83">
        <f t="shared" si="72"/>
        <v>5256</v>
      </c>
      <c r="AL445" s="104">
        <f t="shared" si="73"/>
        <v>0.233125</v>
      </c>
      <c r="AM445" s="104">
        <f t="shared" si="74"/>
        <v>0.233125</v>
      </c>
      <c r="AN445" s="83">
        <f t="shared" si="75"/>
        <v>816.87</v>
      </c>
      <c r="AO445" s="83">
        <f t="shared" si="76"/>
        <v>1225.3050000000001</v>
      </c>
      <c r="AP445" s="83">
        <f t="shared" si="77"/>
        <v>2.7872748018000002</v>
      </c>
      <c r="AQ445" s="83">
        <f t="shared" si="78"/>
        <v>4.1809122027000001</v>
      </c>
      <c r="AR445" s="85"/>
      <c r="AS445" s="85"/>
      <c r="AT445" s="53"/>
      <c r="AU445" s="53"/>
      <c r="AV445" s="53"/>
      <c r="AW445" s="53"/>
      <c r="AX445" s="53"/>
      <c r="AY445" s="53"/>
      <c r="AZ445" s="53"/>
      <c r="BA445" s="53"/>
      <c r="BB445" s="53"/>
      <c r="BC445" s="111">
        <f t="shared" si="79"/>
        <v>816.87</v>
      </c>
      <c r="BD445" s="111">
        <f t="shared" si="80"/>
        <v>1225.3050000000001</v>
      </c>
    </row>
    <row r="446" spans="1:56" ht="15.75" x14ac:dyDescent="0.25">
      <c r="A446" s="53">
        <v>436</v>
      </c>
      <c r="B446" s="53"/>
      <c r="C446" s="53"/>
      <c r="D446" s="53" t="s">
        <v>135</v>
      </c>
      <c r="E446" s="53"/>
      <c r="F446" s="53"/>
      <c r="G446" s="53" t="s">
        <v>211</v>
      </c>
      <c r="H446" s="53" t="s">
        <v>557</v>
      </c>
      <c r="I446" s="85" t="s">
        <v>558</v>
      </c>
      <c r="J446" s="85" t="s">
        <v>765</v>
      </c>
      <c r="K446" s="85" t="s">
        <v>766</v>
      </c>
      <c r="L446" s="53" t="s">
        <v>216</v>
      </c>
      <c r="M446" s="53" t="s">
        <v>295</v>
      </c>
      <c r="N446" s="53"/>
      <c r="O446" s="85" t="s">
        <v>767</v>
      </c>
      <c r="P446" s="53">
        <v>1</v>
      </c>
      <c r="Q446" s="185">
        <v>1</v>
      </c>
      <c r="R446" s="84">
        <v>0.82499999999999996</v>
      </c>
      <c r="S446" s="53"/>
      <c r="T446" s="53"/>
      <c r="U446" s="53">
        <v>3</v>
      </c>
      <c r="V446" s="53">
        <v>480</v>
      </c>
      <c r="W446" s="53"/>
      <c r="X446" s="53"/>
      <c r="Y446" s="53"/>
      <c r="Z446" s="53"/>
      <c r="AA446" s="53"/>
      <c r="AB446" s="53"/>
      <c r="AC446" s="137" t="s">
        <v>110</v>
      </c>
      <c r="AD446" s="138" t="s">
        <v>118</v>
      </c>
      <c r="AE446" s="83">
        <v>8760</v>
      </c>
      <c r="AF446" s="139">
        <v>1</v>
      </c>
      <c r="AG446" s="179">
        <v>1</v>
      </c>
      <c r="AH446" s="139">
        <v>1</v>
      </c>
      <c r="AI446" s="139">
        <v>1</v>
      </c>
      <c r="AJ446" s="83">
        <f t="shared" si="71"/>
        <v>3504</v>
      </c>
      <c r="AK446" s="83">
        <f t="shared" si="72"/>
        <v>5256</v>
      </c>
      <c r="AL446" s="104">
        <f t="shared" si="73"/>
        <v>0.90424242424242429</v>
      </c>
      <c r="AM446" s="104">
        <f t="shared" si="74"/>
        <v>0.90424242424242429</v>
      </c>
      <c r="AN446" s="83">
        <f t="shared" si="75"/>
        <v>3168.4654545454546</v>
      </c>
      <c r="AO446" s="83">
        <f t="shared" si="76"/>
        <v>4752.6981818181821</v>
      </c>
      <c r="AP446" s="182">
        <f t="shared" si="77"/>
        <v>10.811247716072726</v>
      </c>
      <c r="AQ446" s="182">
        <f t="shared" si="78"/>
        <v>16.216871574109092</v>
      </c>
      <c r="AR446" s="85"/>
      <c r="AS446" s="85"/>
      <c r="AT446" s="53"/>
      <c r="AU446" s="53"/>
      <c r="AV446" s="53"/>
      <c r="AW446" s="53"/>
      <c r="AX446" s="53"/>
      <c r="AY446" s="53"/>
      <c r="AZ446" s="53"/>
      <c r="BA446" s="53"/>
      <c r="BB446" s="53"/>
      <c r="BC446" s="111">
        <f t="shared" si="79"/>
        <v>3168.4654545454546</v>
      </c>
      <c r="BD446" s="111">
        <f t="shared" si="80"/>
        <v>4752.6981818181821</v>
      </c>
    </row>
    <row r="447" spans="1:56" ht="15.75" x14ac:dyDescent="0.25">
      <c r="A447" s="53">
        <v>437</v>
      </c>
      <c r="B447" s="53"/>
      <c r="C447" s="53"/>
      <c r="D447" s="53" t="s">
        <v>135</v>
      </c>
      <c r="E447" s="53"/>
      <c r="F447" s="53"/>
      <c r="G447" s="53" t="s">
        <v>211</v>
      </c>
      <c r="H447" s="53" t="s">
        <v>557</v>
      </c>
      <c r="I447" s="85" t="s">
        <v>558</v>
      </c>
      <c r="J447" s="85" t="s">
        <v>856</v>
      </c>
      <c r="K447" s="85" t="s">
        <v>857</v>
      </c>
      <c r="L447" s="53" t="s">
        <v>216</v>
      </c>
      <c r="M447" s="53" t="s">
        <v>295</v>
      </c>
      <c r="N447" s="53"/>
      <c r="O447" s="85" t="s">
        <v>858</v>
      </c>
      <c r="P447" s="53">
        <v>1</v>
      </c>
      <c r="Q447" s="183">
        <v>0.5</v>
      </c>
      <c r="R447" s="84">
        <v>0.8</v>
      </c>
      <c r="S447" s="53"/>
      <c r="T447" s="53"/>
      <c r="U447" s="53">
        <v>3</v>
      </c>
      <c r="V447" s="53">
        <v>480</v>
      </c>
      <c r="W447" s="53"/>
      <c r="X447" s="53"/>
      <c r="Y447" s="53"/>
      <c r="Z447" s="53"/>
      <c r="AA447" s="53"/>
      <c r="AB447" s="53"/>
      <c r="AC447" s="137" t="s">
        <v>110</v>
      </c>
      <c r="AD447" s="138" t="s">
        <v>118</v>
      </c>
      <c r="AE447" s="83">
        <v>8760</v>
      </c>
      <c r="AF447" s="139">
        <v>1</v>
      </c>
      <c r="AG447" s="179">
        <v>1</v>
      </c>
      <c r="AH447" s="139">
        <v>1</v>
      </c>
      <c r="AI447" s="139">
        <v>1</v>
      </c>
      <c r="AJ447" s="83">
        <f t="shared" si="71"/>
        <v>3504</v>
      </c>
      <c r="AK447" s="83">
        <f t="shared" si="72"/>
        <v>5256</v>
      </c>
      <c r="AL447" s="104">
        <f t="shared" si="73"/>
        <v>0.46625</v>
      </c>
      <c r="AM447" s="104">
        <f t="shared" si="74"/>
        <v>0.46625</v>
      </c>
      <c r="AN447" s="83">
        <f t="shared" si="75"/>
        <v>1633.74</v>
      </c>
      <c r="AO447" s="83">
        <f t="shared" si="76"/>
        <v>2450.61</v>
      </c>
      <c r="AP447" s="83">
        <f t="shared" si="77"/>
        <v>5.5745496036000004</v>
      </c>
      <c r="AQ447" s="83">
        <f t="shared" si="78"/>
        <v>8.3618244054000002</v>
      </c>
      <c r="AR447" s="85"/>
      <c r="AS447" s="85"/>
      <c r="AT447" s="53"/>
      <c r="AU447" s="53"/>
      <c r="AV447" s="53"/>
      <c r="AW447" s="53"/>
      <c r="AX447" s="53"/>
      <c r="AY447" s="53"/>
      <c r="AZ447" s="53"/>
      <c r="BA447" s="53"/>
      <c r="BB447" s="53"/>
      <c r="BC447" s="111">
        <f t="shared" si="79"/>
        <v>1633.74</v>
      </c>
      <c r="BD447" s="111">
        <f t="shared" si="80"/>
        <v>2450.61</v>
      </c>
    </row>
    <row r="448" spans="1:56" ht="21" customHeight="1" x14ac:dyDescent="0.25">
      <c r="A448" s="53">
        <v>438</v>
      </c>
      <c r="B448" s="53"/>
      <c r="C448" s="53"/>
      <c r="D448" s="53" t="s">
        <v>135</v>
      </c>
      <c r="E448" s="53"/>
      <c r="F448" s="53"/>
      <c r="G448" s="53" t="s">
        <v>211</v>
      </c>
      <c r="H448" s="53" t="s">
        <v>557</v>
      </c>
      <c r="I448" s="85" t="s">
        <v>558</v>
      </c>
      <c r="J448" s="85" t="s">
        <v>787</v>
      </c>
      <c r="K448" s="85" t="s">
        <v>826</v>
      </c>
      <c r="L448" s="53" t="s">
        <v>216</v>
      </c>
      <c r="M448" s="53" t="s">
        <v>295</v>
      </c>
      <c r="N448" s="53"/>
      <c r="O448" s="85" t="s">
        <v>827</v>
      </c>
      <c r="P448" s="53">
        <v>1</v>
      </c>
      <c r="Q448" s="183">
        <v>0.75</v>
      </c>
      <c r="R448" s="84">
        <v>0.8</v>
      </c>
      <c r="S448" s="53"/>
      <c r="T448" s="53"/>
      <c r="U448" s="53">
        <v>3</v>
      </c>
      <c r="V448" s="53">
        <v>480</v>
      </c>
      <c r="W448" s="53"/>
      <c r="X448" s="53"/>
      <c r="Y448" s="53"/>
      <c r="Z448" s="53"/>
      <c r="AA448" s="53"/>
      <c r="AB448" s="53"/>
      <c r="AC448" s="137" t="s">
        <v>110</v>
      </c>
      <c r="AD448" s="138" t="s">
        <v>118</v>
      </c>
      <c r="AE448" s="83">
        <v>8760</v>
      </c>
      <c r="AF448" s="139">
        <v>1</v>
      </c>
      <c r="AG448" s="179">
        <v>1</v>
      </c>
      <c r="AH448" s="139">
        <v>1</v>
      </c>
      <c r="AI448" s="139">
        <v>1</v>
      </c>
      <c r="AJ448" s="83">
        <f t="shared" si="71"/>
        <v>3504</v>
      </c>
      <c r="AK448" s="83">
        <f t="shared" si="72"/>
        <v>5256</v>
      </c>
      <c r="AL448" s="104">
        <f t="shared" si="73"/>
        <v>0.69937499999999997</v>
      </c>
      <c r="AM448" s="104">
        <f t="shared" si="74"/>
        <v>0.69937499999999997</v>
      </c>
      <c r="AN448" s="83">
        <f t="shared" si="75"/>
        <v>2450.6099999999997</v>
      </c>
      <c r="AO448" s="83">
        <f t="shared" si="76"/>
        <v>3675.915</v>
      </c>
      <c r="AP448" s="182">
        <f t="shared" si="77"/>
        <v>8.3618244053999984</v>
      </c>
      <c r="AQ448" s="182">
        <f t="shared" si="78"/>
        <v>12.542736608099998</v>
      </c>
      <c r="AR448" s="85"/>
      <c r="AS448" s="85"/>
      <c r="AT448" s="53"/>
      <c r="AU448" s="53"/>
      <c r="AV448" s="53"/>
      <c r="AW448" s="53"/>
      <c r="AX448" s="53"/>
      <c r="AY448" s="53"/>
      <c r="AZ448" s="53"/>
      <c r="BA448" s="53"/>
      <c r="BB448" s="53"/>
      <c r="BC448" s="111">
        <f t="shared" si="79"/>
        <v>2450.6099999999997</v>
      </c>
      <c r="BD448" s="111">
        <f t="shared" si="80"/>
        <v>3675.915</v>
      </c>
    </row>
    <row r="449" spans="1:56" ht="21" customHeight="1" x14ac:dyDescent="0.25">
      <c r="A449" s="53">
        <v>439</v>
      </c>
      <c r="B449" s="53"/>
      <c r="C449" s="53"/>
      <c r="D449" s="53" t="s">
        <v>135</v>
      </c>
      <c r="E449" s="53"/>
      <c r="F449" s="53"/>
      <c r="G449" s="53" t="s">
        <v>211</v>
      </c>
      <c r="H449" s="53" t="s">
        <v>557</v>
      </c>
      <c r="I449" s="85" t="s">
        <v>558</v>
      </c>
      <c r="J449" s="85" t="s">
        <v>787</v>
      </c>
      <c r="K449" s="85" t="s">
        <v>899</v>
      </c>
      <c r="L449" s="53" t="s">
        <v>216</v>
      </c>
      <c r="M449" s="53" t="s">
        <v>295</v>
      </c>
      <c r="N449" s="53"/>
      <c r="O449" s="85" t="s">
        <v>900</v>
      </c>
      <c r="P449" s="53">
        <v>1</v>
      </c>
      <c r="Q449" s="183">
        <v>0.25</v>
      </c>
      <c r="R449" s="84">
        <v>0.8</v>
      </c>
      <c r="S449" s="53"/>
      <c r="T449" s="53"/>
      <c r="U449" s="53">
        <v>3</v>
      </c>
      <c r="V449" s="53">
        <v>480</v>
      </c>
      <c r="W449" s="53"/>
      <c r="X449" s="53"/>
      <c r="Y449" s="53"/>
      <c r="Z449" s="53"/>
      <c r="AA449" s="53"/>
      <c r="AB449" s="53"/>
      <c r="AC449" s="137" t="s">
        <v>110</v>
      </c>
      <c r="AD449" s="138" t="s">
        <v>118</v>
      </c>
      <c r="AE449" s="83">
        <v>8760</v>
      </c>
      <c r="AF449" s="139">
        <v>1</v>
      </c>
      <c r="AG449" s="179">
        <v>1</v>
      </c>
      <c r="AH449" s="139">
        <v>1</v>
      </c>
      <c r="AI449" s="139">
        <v>1</v>
      </c>
      <c r="AJ449" s="83">
        <f t="shared" si="71"/>
        <v>3504</v>
      </c>
      <c r="AK449" s="83">
        <f t="shared" si="72"/>
        <v>5256</v>
      </c>
      <c r="AL449" s="104">
        <f t="shared" si="73"/>
        <v>0.233125</v>
      </c>
      <c r="AM449" s="104">
        <f t="shared" si="74"/>
        <v>0.233125</v>
      </c>
      <c r="AN449" s="83">
        <f t="shared" si="75"/>
        <v>816.87</v>
      </c>
      <c r="AO449" s="83">
        <f t="shared" si="76"/>
        <v>1225.3050000000001</v>
      </c>
      <c r="AP449" s="83">
        <f t="shared" si="77"/>
        <v>2.7872748018000002</v>
      </c>
      <c r="AQ449" s="83">
        <f t="shared" si="78"/>
        <v>4.1809122027000001</v>
      </c>
      <c r="AR449" s="85"/>
      <c r="AS449" s="85"/>
      <c r="AT449" s="53"/>
      <c r="AU449" s="53"/>
      <c r="AV449" s="53"/>
      <c r="AW449" s="53"/>
      <c r="AX449" s="53"/>
      <c r="AY449" s="53"/>
      <c r="AZ449" s="53"/>
      <c r="BA449" s="53"/>
      <c r="BB449" s="53"/>
      <c r="BC449" s="111">
        <f t="shared" si="79"/>
        <v>816.87</v>
      </c>
      <c r="BD449" s="111">
        <f t="shared" si="80"/>
        <v>1225.3050000000001</v>
      </c>
    </row>
    <row r="450" spans="1:56" ht="21" customHeight="1" x14ac:dyDescent="0.25">
      <c r="A450" s="53">
        <v>440</v>
      </c>
      <c r="B450" s="53"/>
      <c r="C450" s="53"/>
      <c r="D450" s="53" t="s">
        <v>135</v>
      </c>
      <c r="E450" s="53"/>
      <c r="F450" s="53"/>
      <c r="G450" s="53" t="s">
        <v>211</v>
      </c>
      <c r="H450" s="53" t="s">
        <v>557</v>
      </c>
      <c r="I450" s="85" t="s">
        <v>558</v>
      </c>
      <c r="J450" s="85" t="s">
        <v>828</v>
      </c>
      <c r="K450" s="85" t="s">
        <v>829</v>
      </c>
      <c r="L450" s="53" t="s">
        <v>216</v>
      </c>
      <c r="M450" s="53" t="s">
        <v>295</v>
      </c>
      <c r="N450" s="53"/>
      <c r="O450" s="85" t="s">
        <v>830</v>
      </c>
      <c r="P450" s="53">
        <v>1</v>
      </c>
      <c r="Q450" s="183">
        <v>0.75</v>
      </c>
      <c r="R450" s="84">
        <v>0.8</v>
      </c>
      <c r="S450" s="53"/>
      <c r="T450" s="53"/>
      <c r="U450" s="53">
        <v>3</v>
      </c>
      <c r="V450" s="53">
        <v>480</v>
      </c>
      <c r="W450" s="53"/>
      <c r="X450" s="53"/>
      <c r="Y450" s="53"/>
      <c r="Z450" s="53"/>
      <c r="AA450" s="53"/>
      <c r="AB450" s="53"/>
      <c r="AC450" s="137" t="s">
        <v>110</v>
      </c>
      <c r="AD450" s="138" t="s">
        <v>118</v>
      </c>
      <c r="AE450" s="83">
        <v>8760</v>
      </c>
      <c r="AF450" s="139">
        <v>1</v>
      </c>
      <c r="AG450" s="179">
        <v>1</v>
      </c>
      <c r="AH450" s="139">
        <v>1</v>
      </c>
      <c r="AI450" s="139">
        <v>1</v>
      </c>
      <c r="AJ450" s="83">
        <f t="shared" si="71"/>
        <v>3504</v>
      </c>
      <c r="AK450" s="83">
        <f t="shared" si="72"/>
        <v>5256</v>
      </c>
      <c r="AL450" s="104">
        <f t="shared" si="73"/>
        <v>0.69937499999999997</v>
      </c>
      <c r="AM450" s="104">
        <f t="shared" si="74"/>
        <v>0.69937499999999997</v>
      </c>
      <c r="AN450" s="83">
        <f t="shared" si="75"/>
        <v>2450.6099999999997</v>
      </c>
      <c r="AO450" s="83">
        <f t="shared" si="76"/>
        <v>3675.915</v>
      </c>
      <c r="AP450" s="182">
        <f t="shared" si="77"/>
        <v>8.3618244053999984</v>
      </c>
      <c r="AQ450" s="182">
        <f t="shared" si="78"/>
        <v>12.542736608099998</v>
      </c>
      <c r="AR450" s="85"/>
      <c r="AS450" s="85"/>
      <c r="AT450" s="53"/>
      <c r="AU450" s="53"/>
      <c r="AV450" s="53"/>
      <c r="AW450" s="53"/>
      <c r="AX450" s="53"/>
      <c r="AY450" s="53"/>
      <c r="AZ450" s="53"/>
      <c r="BA450" s="53"/>
      <c r="BB450" s="53"/>
      <c r="BC450" s="111">
        <f t="shared" si="79"/>
        <v>2450.6099999999997</v>
      </c>
      <c r="BD450" s="111">
        <f t="shared" si="80"/>
        <v>3675.915</v>
      </c>
    </row>
    <row r="451" spans="1:56" ht="21" customHeight="1" x14ac:dyDescent="0.25">
      <c r="A451" s="53">
        <v>441</v>
      </c>
      <c r="B451" s="53"/>
      <c r="C451" s="53"/>
      <c r="D451" s="53" t="s">
        <v>135</v>
      </c>
      <c r="E451" s="53"/>
      <c r="F451" s="53"/>
      <c r="G451" s="53" t="s">
        <v>211</v>
      </c>
      <c r="H451" s="53" t="s">
        <v>557</v>
      </c>
      <c r="I451" s="85" t="s">
        <v>558</v>
      </c>
      <c r="J451" s="85" t="s">
        <v>768</v>
      </c>
      <c r="K451" s="85" t="s">
        <v>769</v>
      </c>
      <c r="L451" s="53" t="s">
        <v>216</v>
      </c>
      <c r="M451" s="53" t="s">
        <v>295</v>
      </c>
      <c r="N451" s="53"/>
      <c r="O451" s="85" t="s">
        <v>770</v>
      </c>
      <c r="P451" s="53">
        <v>1</v>
      </c>
      <c r="Q451" s="183">
        <v>1</v>
      </c>
      <c r="R451" s="84">
        <v>0.82499999999999996</v>
      </c>
      <c r="S451" s="53"/>
      <c r="T451" s="53"/>
      <c r="U451" s="53">
        <v>3</v>
      </c>
      <c r="V451" s="53">
        <v>480</v>
      </c>
      <c r="W451" s="53"/>
      <c r="X451" s="53"/>
      <c r="Y451" s="53"/>
      <c r="Z451" s="53"/>
      <c r="AA451" s="53"/>
      <c r="AB451" s="53"/>
      <c r="AC451" s="137" t="s">
        <v>110</v>
      </c>
      <c r="AD451" s="138" t="s">
        <v>118</v>
      </c>
      <c r="AE451" s="83">
        <v>8760</v>
      </c>
      <c r="AF451" s="139">
        <v>1</v>
      </c>
      <c r="AG451" s="179">
        <v>1</v>
      </c>
      <c r="AH451" s="139">
        <v>1</v>
      </c>
      <c r="AI451" s="139">
        <v>1</v>
      </c>
      <c r="AJ451" s="83">
        <f t="shared" si="71"/>
        <v>3504</v>
      </c>
      <c r="AK451" s="83">
        <f t="shared" si="72"/>
        <v>5256</v>
      </c>
      <c r="AL451" s="104">
        <f t="shared" si="73"/>
        <v>0.90424242424242429</v>
      </c>
      <c r="AM451" s="104">
        <f t="shared" si="74"/>
        <v>0.90424242424242429</v>
      </c>
      <c r="AN451" s="83">
        <f t="shared" si="75"/>
        <v>3168.4654545454546</v>
      </c>
      <c r="AO451" s="83">
        <f t="shared" si="76"/>
        <v>4752.6981818181821</v>
      </c>
      <c r="AP451" s="83">
        <f t="shared" si="77"/>
        <v>10.811247716072726</v>
      </c>
      <c r="AQ451" s="83">
        <f t="shared" si="78"/>
        <v>16.216871574109092</v>
      </c>
      <c r="AR451" s="85"/>
      <c r="AS451" s="85"/>
      <c r="AT451" s="53"/>
      <c r="AU451" s="53"/>
      <c r="AV451" s="53"/>
      <c r="AW451" s="53"/>
      <c r="AX451" s="53"/>
      <c r="AY451" s="53"/>
      <c r="AZ451" s="53"/>
      <c r="BA451" s="53"/>
      <c r="BB451" s="53"/>
      <c r="BC451" s="111">
        <f t="shared" si="79"/>
        <v>3168.4654545454546</v>
      </c>
      <c r="BD451" s="111">
        <f t="shared" si="80"/>
        <v>4752.6981818181821</v>
      </c>
    </row>
    <row r="452" spans="1:56" ht="21" customHeight="1" x14ac:dyDescent="0.25">
      <c r="A452" s="53">
        <v>442</v>
      </c>
      <c r="B452" s="53"/>
      <c r="C452" s="53"/>
      <c r="D452" s="53" t="s">
        <v>135</v>
      </c>
      <c r="E452" s="53"/>
      <c r="F452" s="53"/>
      <c r="G452" s="53" t="s">
        <v>211</v>
      </c>
      <c r="H452" s="53" t="s">
        <v>557</v>
      </c>
      <c r="I452" s="85" t="s">
        <v>558</v>
      </c>
      <c r="J452" s="85" t="s">
        <v>771</v>
      </c>
      <c r="K452" s="85" t="s">
        <v>772</v>
      </c>
      <c r="L452" s="53" t="s">
        <v>216</v>
      </c>
      <c r="M452" s="53" t="s">
        <v>295</v>
      </c>
      <c r="N452" s="53"/>
      <c r="O452" s="85" t="s">
        <v>770</v>
      </c>
      <c r="P452" s="53">
        <v>1</v>
      </c>
      <c r="Q452" s="183">
        <v>1</v>
      </c>
      <c r="R452" s="84">
        <v>0.82499999999999996</v>
      </c>
      <c r="S452" s="53"/>
      <c r="T452" s="53"/>
      <c r="U452" s="53">
        <v>3</v>
      </c>
      <c r="V452" s="53">
        <v>480</v>
      </c>
      <c r="W452" s="53"/>
      <c r="X452" s="53"/>
      <c r="Y452" s="53"/>
      <c r="Z452" s="53"/>
      <c r="AA452" s="53"/>
      <c r="AB452" s="53"/>
      <c r="AC452" s="137" t="s">
        <v>110</v>
      </c>
      <c r="AD452" s="138" t="s">
        <v>118</v>
      </c>
      <c r="AE452" s="83">
        <v>8760</v>
      </c>
      <c r="AF452" s="139">
        <v>1</v>
      </c>
      <c r="AG452" s="179">
        <v>1</v>
      </c>
      <c r="AH452" s="139">
        <v>1</v>
      </c>
      <c r="AI452" s="139">
        <v>1</v>
      </c>
      <c r="AJ452" s="83">
        <f t="shared" si="71"/>
        <v>3504</v>
      </c>
      <c r="AK452" s="83">
        <f t="shared" si="72"/>
        <v>5256</v>
      </c>
      <c r="AL452" s="104">
        <f t="shared" si="73"/>
        <v>0.90424242424242429</v>
      </c>
      <c r="AM452" s="104">
        <f t="shared" si="74"/>
        <v>0.90424242424242429</v>
      </c>
      <c r="AN452" s="83">
        <f t="shared" si="75"/>
        <v>3168.4654545454546</v>
      </c>
      <c r="AO452" s="83">
        <f t="shared" si="76"/>
        <v>4752.6981818181821</v>
      </c>
      <c r="AP452" s="182">
        <f t="shared" si="77"/>
        <v>10.811247716072726</v>
      </c>
      <c r="AQ452" s="182">
        <f t="shared" si="78"/>
        <v>16.216871574109092</v>
      </c>
      <c r="AR452" s="85"/>
      <c r="AS452" s="85"/>
      <c r="AT452" s="53"/>
      <c r="AU452" s="53"/>
      <c r="AV452" s="53"/>
      <c r="AW452" s="53"/>
      <c r="AX452" s="53"/>
      <c r="AY452" s="53"/>
      <c r="AZ452" s="53"/>
      <c r="BA452" s="53"/>
      <c r="BB452" s="53"/>
      <c r="BC452" s="111">
        <f t="shared" si="79"/>
        <v>3168.4654545454546</v>
      </c>
      <c r="BD452" s="111">
        <f t="shared" si="80"/>
        <v>4752.6981818181821</v>
      </c>
    </row>
    <row r="453" spans="1:56" ht="21" customHeight="1" x14ac:dyDescent="0.25">
      <c r="A453" s="53">
        <v>443</v>
      </c>
      <c r="B453" s="53"/>
      <c r="C453" s="53"/>
      <c r="D453" s="53" t="s">
        <v>135</v>
      </c>
      <c r="E453" s="53"/>
      <c r="F453" s="53"/>
      <c r="G453" s="53" t="s">
        <v>211</v>
      </c>
      <c r="H453" s="53" t="s">
        <v>557</v>
      </c>
      <c r="I453" s="85" t="s">
        <v>558</v>
      </c>
      <c r="J453" s="85" t="s">
        <v>773</v>
      </c>
      <c r="K453" s="85" t="s">
        <v>774</v>
      </c>
      <c r="L453" s="53" t="s">
        <v>216</v>
      </c>
      <c r="M453" s="53" t="s">
        <v>295</v>
      </c>
      <c r="N453" s="53"/>
      <c r="O453" s="85" t="s">
        <v>775</v>
      </c>
      <c r="P453" s="53">
        <v>1</v>
      </c>
      <c r="Q453" s="183">
        <v>1</v>
      </c>
      <c r="R453" s="84">
        <v>0.82499999999999996</v>
      </c>
      <c r="S453" s="53"/>
      <c r="T453" s="53"/>
      <c r="U453" s="53">
        <v>3</v>
      </c>
      <c r="V453" s="53">
        <v>480</v>
      </c>
      <c r="W453" s="53"/>
      <c r="X453" s="53"/>
      <c r="Y453" s="53"/>
      <c r="Z453" s="53"/>
      <c r="AA453" s="53"/>
      <c r="AB453" s="53"/>
      <c r="AC453" s="137" t="s">
        <v>110</v>
      </c>
      <c r="AD453" s="138" t="s">
        <v>118</v>
      </c>
      <c r="AE453" s="83">
        <v>8760</v>
      </c>
      <c r="AF453" s="139">
        <v>1</v>
      </c>
      <c r="AG453" s="179">
        <v>1</v>
      </c>
      <c r="AH453" s="139">
        <v>1</v>
      </c>
      <c r="AI453" s="139">
        <v>1</v>
      </c>
      <c r="AJ453" s="83">
        <f t="shared" si="71"/>
        <v>3504</v>
      </c>
      <c r="AK453" s="83">
        <f t="shared" si="72"/>
        <v>5256</v>
      </c>
      <c r="AL453" s="104">
        <f t="shared" si="73"/>
        <v>0.90424242424242429</v>
      </c>
      <c r="AM453" s="104">
        <f t="shared" si="74"/>
        <v>0.90424242424242429</v>
      </c>
      <c r="AN453" s="83">
        <f t="shared" si="75"/>
        <v>3168.4654545454546</v>
      </c>
      <c r="AO453" s="83">
        <f t="shared" si="76"/>
        <v>4752.6981818181821</v>
      </c>
      <c r="AP453" s="83">
        <f t="shared" si="77"/>
        <v>10.811247716072726</v>
      </c>
      <c r="AQ453" s="83">
        <f t="shared" si="78"/>
        <v>16.216871574109092</v>
      </c>
      <c r="AR453" s="85"/>
      <c r="AS453" s="85"/>
      <c r="AT453" s="53"/>
      <c r="AU453" s="53"/>
      <c r="AV453" s="53"/>
      <c r="AW453" s="53"/>
      <c r="AX453" s="53"/>
      <c r="AY453" s="53"/>
      <c r="AZ453" s="53"/>
      <c r="BA453" s="53"/>
      <c r="BB453" s="53"/>
      <c r="BC453" s="111">
        <f t="shared" si="79"/>
        <v>3168.4654545454546</v>
      </c>
      <c r="BD453" s="111">
        <f t="shared" si="80"/>
        <v>4752.6981818181821</v>
      </c>
    </row>
    <row r="454" spans="1:56" ht="21" customHeight="1" x14ac:dyDescent="0.25">
      <c r="A454" s="53">
        <v>444</v>
      </c>
      <c r="B454" s="53"/>
      <c r="C454" s="53"/>
      <c r="D454" s="53" t="s">
        <v>135</v>
      </c>
      <c r="E454" s="53"/>
      <c r="F454" s="53"/>
      <c r="G454" s="53" t="s">
        <v>211</v>
      </c>
      <c r="H454" s="53" t="s">
        <v>557</v>
      </c>
      <c r="I454" s="85" t="s">
        <v>558</v>
      </c>
      <c r="J454" s="85" t="s">
        <v>873</v>
      </c>
      <c r="K454" s="85" t="s">
        <v>874</v>
      </c>
      <c r="L454" s="53" t="s">
        <v>216</v>
      </c>
      <c r="M454" s="53" t="s">
        <v>295</v>
      </c>
      <c r="N454" s="53"/>
      <c r="O454" s="85" t="s">
        <v>875</v>
      </c>
      <c r="P454" s="53">
        <v>1</v>
      </c>
      <c r="Q454" s="183">
        <v>0.33333333333333331</v>
      </c>
      <c r="R454" s="84">
        <v>0.8</v>
      </c>
      <c r="S454" s="53"/>
      <c r="T454" s="53"/>
      <c r="U454" s="53">
        <v>3</v>
      </c>
      <c r="V454" s="53">
        <v>480</v>
      </c>
      <c r="W454" s="53"/>
      <c r="X454" s="53"/>
      <c r="Y454" s="53"/>
      <c r="Z454" s="53"/>
      <c r="AA454" s="53"/>
      <c r="AB454" s="53"/>
      <c r="AC454" s="137" t="s">
        <v>110</v>
      </c>
      <c r="AD454" s="138" t="s">
        <v>118</v>
      </c>
      <c r="AE454" s="83">
        <v>8760</v>
      </c>
      <c r="AF454" s="139">
        <v>1</v>
      </c>
      <c r="AG454" s="179">
        <v>1</v>
      </c>
      <c r="AH454" s="139">
        <v>1</v>
      </c>
      <c r="AI454" s="139">
        <v>1</v>
      </c>
      <c r="AJ454" s="83">
        <f t="shared" si="71"/>
        <v>3504</v>
      </c>
      <c r="AK454" s="83">
        <f t="shared" si="72"/>
        <v>5256</v>
      </c>
      <c r="AL454" s="104">
        <f t="shared" si="73"/>
        <v>0.31083333333333329</v>
      </c>
      <c r="AM454" s="104">
        <f t="shared" si="74"/>
        <v>0.31083333333333329</v>
      </c>
      <c r="AN454" s="83">
        <f t="shared" si="75"/>
        <v>1089.1599999999999</v>
      </c>
      <c r="AO454" s="83">
        <f t="shared" si="76"/>
        <v>1633.7399999999998</v>
      </c>
      <c r="AP454" s="182">
        <f t="shared" si="77"/>
        <v>3.7163664023999994</v>
      </c>
      <c r="AQ454" s="182">
        <f t="shared" si="78"/>
        <v>5.5745496035999995</v>
      </c>
      <c r="AR454" s="85"/>
      <c r="AS454" s="85"/>
      <c r="AT454" s="53"/>
      <c r="AU454" s="53"/>
      <c r="AV454" s="53"/>
      <c r="AW454" s="53"/>
      <c r="AX454" s="53"/>
      <c r="AY454" s="53"/>
      <c r="AZ454" s="53"/>
      <c r="BA454" s="53"/>
      <c r="BB454" s="53"/>
      <c r="BC454" s="111">
        <f t="shared" si="79"/>
        <v>1089.1599999999999</v>
      </c>
      <c r="BD454" s="111">
        <f t="shared" si="80"/>
        <v>1633.7399999999998</v>
      </c>
    </row>
    <row r="455" spans="1:56" ht="21" customHeight="1" x14ac:dyDescent="0.25">
      <c r="A455" s="53">
        <v>445</v>
      </c>
      <c r="B455" s="53"/>
      <c r="C455" s="53"/>
      <c r="D455" s="53" t="s">
        <v>135</v>
      </c>
      <c r="E455" s="53"/>
      <c r="F455" s="53"/>
      <c r="G455" s="53" t="s">
        <v>211</v>
      </c>
      <c r="H455" s="53" t="s">
        <v>557</v>
      </c>
      <c r="I455" s="85" t="s">
        <v>558</v>
      </c>
      <c r="J455" s="85" t="s">
        <v>938</v>
      </c>
      <c r="K455" s="85" t="s">
        <v>939</v>
      </c>
      <c r="L455" s="53" t="s">
        <v>216</v>
      </c>
      <c r="M455" s="53" t="s">
        <v>295</v>
      </c>
      <c r="N455" s="53"/>
      <c r="O455" s="85" t="s">
        <v>940</v>
      </c>
      <c r="P455" s="53">
        <v>1</v>
      </c>
      <c r="Q455" s="183">
        <v>1.6666666666666666E-2</v>
      </c>
      <c r="R455" s="84">
        <v>0.8</v>
      </c>
      <c r="S455" s="53"/>
      <c r="T455" s="53"/>
      <c r="U455" s="53">
        <v>3</v>
      </c>
      <c r="V455" s="53">
        <v>480</v>
      </c>
      <c r="W455" s="53"/>
      <c r="X455" s="53"/>
      <c r="Y455" s="53"/>
      <c r="Z455" s="53"/>
      <c r="AA455" s="53"/>
      <c r="AB455" s="53"/>
      <c r="AC455" s="137" t="s">
        <v>110</v>
      </c>
      <c r="AD455" s="138" t="s">
        <v>118</v>
      </c>
      <c r="AE455" s="83">
        <v>8760</v>
      </c>
      <c r="AF455" s="139">
        <v>1</v>
      </c>
      <c r="AG455" s="179">
        <v>1</v>
      </c>
      <c r="AH455" s="139">
        <v>1</v>
      </c>
      <c r="AI455" s="139">
        <v>1</v>
      </c>
      <c r="AJ455" s="83">
        <f t="shared" si="71"/>
        <v>3504</v>
      </c>
      <c r="AK455" s="83">
        <f t="shared" si="72"/>
        <v>5256</v>
      </c>
      <c r="AL455" s="104">
        <f t="shared" si="73"/>
        <v>1.5541666666666665E-2</v>
      </c>
      <c r="AM455" s="104">
        <f t="shared" si="74"/>
        <v>1.5541666666666665E-2</v>
      </c>
      <c r="AN455" s="83">
        <f t="shared" si="75"/>
        <v>54.457999999999998</v>
      </c>
      <c r="AO455" s="83">
        <f t="shared" si="76"/>
        <v>81.686999999999998</v>
      </c>
      <c r="AP455" s="83">
        <f t="shared" si="77"/>
        <v>0.18581832011999999</v>
      </c>
      <c r="AQ455" s="83">
        <f t="shared" si="78"/>
        <v>0.27872748017999993</v>
      </c>
      <c r="AR455" s="85"/>
      <c r="AS455" s="85"/>
      <c r="AT455" s="53"/>
      <c r="AU455" s="53"/>
      <c r="AV455" s="53"/>
      <c r="AW455" s="53"/>
      <c r="AX455" s="53"/>
      <c r="AY455" s="53"/>
      <c r="AZ455" s="53"/>
      <c r="BA455" s="53"/>
      <c r="BB455" s="53"/>
      <c r="BC455" s="111">
        <f t="shared" si="79"/>
        <v>54.457999999999998</v>
      </c>
      <c r="BD455" s="111">
        <f t="shared" si="80"/>
        <v>81.686999999999998</v>
      </c>
    </row>
    <row r="456" spans="1:56" ht="21" customHeight="1" x14ac:dyDescent="0.25">
      <c r="A456" s="53">
        <v>446</v>
      </c>
      <c r="B456" s="53"/>
      <c r="C456" s="53"/>
      <c r="D456" s="53" t="s">
        <v>135</v>
      </c>
      <c r="E456" s="53"/>
      <c r="F456" s="53"/>
      <c r="G456" s="53" t="s">
        <v>211</v>
      </c>
      <c r="H456" s="53" t="s">
        <v>557</v>
      </c>
      <c r="I456" s="85" t="s">
        <v>558</v>
      </c>
      <c r="J456" s="85" t="s">
        <v>776</v>
      </c>
      <c r="K456" s="85" t="s">
        <v>777</v>
      </c>
      <c r="L456" s="53" t="s">
        <v>216</v>
      </c>
      <c r="M456" s="53" t="s">
        <v>295</v>
      </c>
      <c r="N456" s="53"/>
      <c r="O456" s="85" t="s">
        <v>778</v>
      </c>
      <c r="P456" s="53">
        <v>1</v>
      </c>
      <c r="Q456" s="185">
        <v>1</v>
      </c>
      <c r="R456" s="84">
        <v>0.82499999999999996</v>
      </c>
      <c r="S456" s="53"/>
      <c r="T456" s="53"/>
      <c r="U456" s="53">
        <v>3</v>
      </c>
      <c r="V456" s="53">
        <v>480</v>
      </c>
      <c r="W456" s="53"/>
      <c r="X456" s="53"/>
      <c r="Y456" s="53"/>
      <c r="Z456" s="53"/>
      <c r="AA456" s="53"/>
      <c r="AB456" s="53"/>
      <c r="AC456" s="137" t="s">
        <v>110</v>
      </c>
      <c r="AD456" s="138" t="s">
        <v>118</v>
      </c>
      <c r="AE456" s="83">
        <v>8760</v>
      </c>
      <c r="AF456" s="139">
        <v>1</v>
      </c>
      <c r="AG456" s="179">
        <v>1</v>
      </c>
      <c r="AH456" s="139">
        <v>1</v>
      </c>
      <c r="AI456" s="139">
        <v>1</v>
      </c>
      <c r="AJ456" s="83">
        <f t="shared" si="71"/>
        <v>3504</v>
      </c>
      <c r="AK456" s="83">
        <f t="shared" si="72"/>
        <v>5256</v>
      </c>
      <c r="AL456" s="104">
        <f t="shared" si="73"/>
        <v>0.90424242424242429</v>
      </c>
      <c r="AM456" s="104">
        <f t="shared" si="74"/>
        <v>0.90424242424242429</v>
      </c>
      <c r="AN456" s="83">
        <f t="shared" si="75"/>
        <v>3168.4654545454546</v>
      </c>
      <c r="AO456" s="83">
        <f t="shared" si="76"/>
        <v>4752.6981818181821</v>
      </c>
      <c r="AP456" s="182">
        <f t="shared" si="77"/>
        <v>10.811247716072726</v>
      </c>
      <c r="AQ456" s="182">
        <f t="shared" si="78"/>
        <v>16.216871574109092</v>
      </c>
      <c r="AR456" s="85"/>
      <c r="AS456" s="85"/>
      <c r="AT456" s="53"/>
      <c r="AU456" s="53"/>
      <c r="AV456" s="53"/>
      <c r="AW456" s="53"/>
      <c r="AX456" s="53"/>
      <c r="AY456" s="53"/>
      <c r="AZ456" s="53"/>
      <c r="BA456" s="53"/>
      <c r="BB456" s="53"/>
      <c r="BC456" s="111">
        <f t="shared" si="79"/>
        <v>3168.4654545454546</v>
      </c>
      <c r="BD456" s="111">
        <f t="shared" si="80"/>
        <v>4752.6981818181821</v>
      </c>
    </row>
    <row r="457" spans="1:56" ht="21" customHeight="1" x14ac:dyDescent="0.25">
      <c r="A457" s="53">
        <v>447</v>
      </c>
      <c r="B457" s="53"/>
      <c r="C457" s="53"/>
      <c r="D457" s="53" t="s">
        <v>135</v>
      </c>
      <c r="E457" s="53"/>
      <c r="F457" s="53"/>
      <c r="G457" s="53" t="s">
        <v>211</v>
      </c>
      <c r="H457" s="53" t="s">
        <v>557</v>
      </c>
      <c r="I457" s="85" t="s">
        <v>558</v>
      </c>
      <c r="J457" s="85" t="s">
        <v>901</v>
      </c>
      <c r="K457" s="85" t="s">
        <v>902</v>
      </c>
      <c r="L457" s="53" t="s">
        <v>216</v>
      </c>
      <c r="M457" s="53" t="s">
        <v>295</v>
      </c>
      <c r="N457" s="53"/>
      <c r="O457" s="85" t="s">
        <v>903</v>
      </c>
      <c r="P457" s="53">
        <v>1</v>
      </c>
      <c r="Q457" s="183">
        <v>0.25</v>
      </c>
      <c r="R457" s="84">
        <v>0.8</v>
      </c>
      <c r="S457" s="53"/>
      <c r="T457" s="53"/>
      <c r="U457" s="53">
        <v>3</v>
      </c>
      <c r="V457" s="53">
        <v>480</v>
      </c>
      <c r="W457" s="53"/>
      <c r="X457" s="53"/>
      <c r="Y457" s="53"/>
      <c r="Z457" s="53"/>
      <c r="AA457" s="53"/>
      <c r="AB457" s="53"/>
      <c r="AC457" s="137" t="s">
        <v>110</v>
      </c>
      <c r="AD457" s="138" t="s">
        <v>118</v>
      </c>
      <c r="AE457" s="83">
        <v>8760</v>
      </c>
      <c r="AF457" s="139">
        <v>1</v>
      </c>
      <c r="AG457" s="179">
        <v>1</v>
      </c>
      <c r="AH457" s="139">
        <v>1</v>
      </c>
      <c r="AI457" s="139">
        <v>1</v>
      </c>
      <c r="AJ457" s="83">
        <f t="shared" si="71"/>
        <v>3504</v>
      </c>
      <c r="AK457" s="83">
        <f t="shared" si="72"/>
        <v>5256</v>
      </c>
      <c r="AL457" s="104">
        <f t="shared" si="73"/>
        <v>0.233125</v>
      </c>
      <c r="AM457" s="104">
        <f t="shared" si="74"/>
        <v>0.233125</v>
      </c>
      <c r="AN457" s="83">
        <f t="shared" si="75"/>
        <v>816.87</v>
      </c>
      <c r="AO457" s="83">
        <f t="shared" si="76"/>
        <v>1225.3050000000001</v>
      </c>
      <c r="AP457" s="83">
        <f t="shared" si="77"/>
        <v>2.7872748018000002</v>
      </c>
      <c r="AQ457" s="83">
        <f t="shared" si="78"/>
        <v>4.1809122027000001</v>
      </c>
      <c r="AR457" s="85"/>
      <c r="AS457" s="85"/>
      <c r="AT457" s="53"/>
      <c r="AU457" s="53"/>
      <c r="AV457" s="53"/>
      <c r="AW457" s="53"/>
      <c r="AX457" s="53"/>
      <c r="AY457" s="53"/>
      <c r="AZ457" s="53"/>
      <c r="BA457" s="53"/>
      <c r="BB457" s="53"/>
      <c r="BC457" s="111">
        <f t="shared" si="79"/>
        <v>816.87</v>
      </c>
      <c r="BD457" s="111">
        <f t="shared" si="80"/>
        <v>1225.3050000000001</v>
      </c>
    </row>
    <row r="458" spans="1:56" ht="21" customHeight="1" x14ac:dyDescent="0.25">
      <c r="A458" s="53">
        <v>448</v>
      </c>
      <c r="B458" s="53"/>
      <c r="C458" s="53"/>
      <c r="D458" s="53" t="s">
        <v>135</v>
      </c>
      <c r="E458" s="53"/>
      <c r="F458" s="53"/>
      <c r="G458" s="53" t="s">
        <v>211</v>
      </c>
      <c r="H458" s="53" t="s">
        <v>557</v>
      </c>
      <c r="I458" s="85" t="s">
        <v>558</v>
      </c>
      <c r="J458" s="85" t="s">
        <v>859</v>
      </c>
      <c r="K458" s="85" t="s">
        <v>860</v>
      </c>
      <c r="L458" s="53" t="s">
        <v>216</v>
      </c>
      <c r="M458" s="53" t="s">
        <v>295</v>
      </c>
      <c r="N458" s="53"/>
      <c r="O458" s="85" t="s">
        <v>861</v>
      </c>
      <c r="P458" s="53">
        <v>1</v>
      </c>
      <c r="Q458" s="183">
        <v>0.5</v>
      </c>
      <c r="R458" s="84">
        <v>0.8</v>
      </c>
      <c r="S458" s="53"/>
      <c r="T458" s="53"/>
      <c r="U458" s="53">
        <v>3</v>
      </c>
      <c r="V458" s="53">
        <v>480</v>
      </c>
      <c r="W458" s="53"/>
      <c r="X458" s="53"/>
      <c r="Y458" s="53"/>
      <c r="Z458" s="53"/>
      <c r="AA458" s="53"/>
      <c r="AB458" s="53"/>
      <c r="AC458" s="137" t="s">
        <v>110</v>
      </c>
      <c r="AD458" s="138" t="s">
        <v>118</v>
      </c>
      <c r="AE458" s="83">
        <v>8760</v>
      </c>
      <c r="AF458" s="139">
        <v>1</v>
      </c>
      <c r="AG458" s="179">
        <v>1</v>
      </c>
      <c r="AH458" s="139">
        <v>1</v>
      </c>
      <c r="AI458" s="139">
        <v>1</v>
      </c>
      <c r="AJ458" s="83">
        <f t="shared" si="71"/>
        <v>3504</v>
      </c>
      <c r="AK458" s="83">
        <f t="shared" si="72"/>
        <v>5256</v>
      </c>
      <c r="AL458" s="104">
        <f t="shared" si="73"/>
        <v>0.46625</v>
      </c>
      <c r="AM458" s="104">
        <f t="shared" si="74"/>
        <v>0.46625</v>
      </c>
      <c r="AN458" s="83">
        <f t="shared" si="75"/>
        <v>1633.74</v>
      </c>
      <c r="AO458" s="83">
        <f t="shared" si="76"/>
        <v>2450.61</v>
      </c>
      <c r="AP458" s="182">
        <f t="shared" si="77"/>
        <v>5.5745496036000004</v>
      </c>
      <c r="AQ458" s="182">
        <f t="shared" si="78"/>
        <v>8.3618244054000002</v>
      </c>
      <c r="AR458" s="85"/>
      <c r="AS458" s="85"/>
      <c r="AT458" s="53"/>
      <c r="AU458" s="53"/>
      <c r="AV458" s="53"/>
      <c r="AW458" s="53"/>
      <c r="AX458" s="53"/>
      <c r="AY458" s="53"/>
      <c r="AZ458" s="53"/>
      <c r="BA458" s="53"/>
      <c r="BB458" s="53"/>
      <c r="BC458" s="111">
        <f t="shared" si="79"/>
        <v>1633.74</v>
      </c>
      <c r="BD458" s="111">
        <f t="shared" si="80"/>
        <v>2450.61</v>
      </c>
    </row>
    <row r="459" spans="1:56" ht="21" customHeight="1" x14ac:dyDescent="0.25">
      <c r="A459" s="53">
        <v>449</v>
      </c>
      <c r="B459" s="53"/>
      <c r="C459" s="53"/>
      <c r="D459" s="53" t="s">
        <v>135</v>
      </c>
      <c r="E459" s="53"/>
      <c r="F459" s="53"/>
      <c r="G459" s="53" t="s">
        <v>211</v>
      </c>
      <c r="H459" s="53" t="s">
        <v>557</v>
      </c>
      <c r="I459" s="85" t="s">
        <v>558</v>
      </c>
      <c r="J459" s="85" t="s">
        <v>862</v>
      </c>
      <c r="K459" s="85" t="s">
        <v>863</v>
      </c>
      <c r="L459" s="53" t="s">
        <v>216</v>
      </c>
      <c r="M459" s="53" t="s">
        <v>295</v>
      </c>
      <c r="N459" s="53"/>
      <c r="O459" s="85" t="s">
        <v>864</v>
      </c>
      <c r="P459" s="53">
        <v>1</v>
      </c>
      <c r="Q459" s="183">
        <v>0.5</v>
      </c>
      <c r="R459" s="84">
        <v>0.8</v>
      </c>
      <c r="S459" s="53"/>
      <c r="T459" s="53"/>
      <c r="U459" s="53">
        <v>3</v>
      </c>
      <c r="V459" s="53">
        <v>480</v>
      </c>
      <c r="W459" s="53"/>
      <c r="X459" s="53"/>
      <c r="Y459" s="53"/>
      <c r="Z459" s="53"/>
      <c r="AA459" s="53"/>
      <c r="AB459" s="53"/>
      <c r="AC459" s="137" t="s">
        <v>110</v>
      </c>
      <c r="AD459" s="138" t="s">
        <v>118</v>
      </c>
      <c r="AE459" s="83">
        <v>8760</v>
      </c>
      <c r="AF459" s="139">
        <v>1</v>
      </c>
      <c r="AG459" s="179">
        <v>1</v>
      </c>
      <c r="AH459" s="139">
        <v>1</v>
      </c>
      <c r="AI459" s="139">
        <v>1</v>
      </c>
      <c r="AJ459" s="83">
        <f t="shared" ref="AJ459:AJ513" si="81">$AE459*AG459*$AA$3</f>
        <v>3504</v>
      </c>
      <c r="AK459" s="83">
        <f t="shared" ref="AK459:AK513" si="82">$AE459*AG459*$AA$4</f>
        <v>5256</v>
      </c>
      <c r="AL459" s="104">
        <f t="shared" ref="AL459:AL513" si="83">IF($Q459&gt;0,((($P459*$Q459*$AP$2/$R459)*$AH459)),IF($U459=1,($AV459*$AF459*$AH459),((1.732*($V459/1000)*$S459*$AP$3*$AF459*$AH459*$P459))))</f>
        <v>0.46625</v>
      </c>
      <c r="AM459" s="104">
        <f t="shared" ref="AM459:AM513" si="84">IF($Q459&gt;0,((($P459*$Q459*$AP$2/$R459)*$AI459)),IF($U459=1,($AV459*$AF459*$AI459),((1.732*($V459/1000)*$S459*$AP$3*$AF459*$AI459*$P459))))</f>
        <v>0.46625</v>
      </c>
      <c r="AN459" s="83">
        <f t="shared" ref="AN459:AN513" si="85">AL459*AJ459</f>
        <v>1633.74</v>
      </c>
      <c r="AO459" s="83">
        <f t="shared" ref="AO459:AO513" si="86">AM459*AK459</f>
        <v>2450.61</v>
      </c>
      <c r="AP459" s="83">
        <f t="shared" ref="AP459:AP520" si="87">AN459*$AP$7/1000000</f>
        <v>5.5745496036000004</v>
      </c>
      <c r="AQ459" s="83">
        <f t="shared" ref="AQ459:AQ520" si="88">AO459*$AQ$7/1000000</f>
        <v>8.3618244054000002</v>
      </c>
      <c r="AR459" s="85"/>
      <c r="AS459" s="85"/>
      <c r="AT459" s="53"/>
      <c r="AU459" s="53"/>
      <c r="AV459" s="53"/>
      <c r="AW459" s="53"/>
      <c r="AX459" s="53"/>
      <c r="AY459" s="53"/>
      <c r="AZ459" s="53"/>
      <c r="BA459" s="53"/>
      <c r="BB459" s="53"/>
      <c r="BC459" s="111">
        <f t="shared" ref="BC459:BC522" si="89">AN459</f>
        <v>1633.74</v>
      </c>
      <c r="BD459" s="111">
        <f t="shared" ref="BD459:BD522" si="90">AO459</f>
        <v>2450.61</v>
      </c>
    </row>
    <row r="460" spans="1:56" ht="21" customHeight="1" x14ac:dyDescent="0.25">
      <c r="A460" s="53">
        <v>450</v>
      </c>
      <c r="B460" s="53"/>
      <c r="C460" s="53"/>
      <c r="D460" s="53" t="s">
        <v>135</v>
      </c>
      <c r="E460" s="53"/>
      <c r="F460" s="53"/>
      <c r="G460" s="53" t="s">
        <v>211</v>
      </c>
      <c r="H460" s="53" t="s">
        <v>557</v>
      </c>
      <c r="I460" s="85" t="s">
        <v>558</v>
      </c>
      <c r="J460" s="85" t="s">
        <v>862</v>
      </c>
      <c r="K460" s="85" t="s">
        <v>904</v>
      </c>
      <c r="L460" s="53" t="s">
        <v>216</v>
      </c>
      <c r="M460" s="53" t="s">
        <v>295</v>
      </c>
      <c r="N460" s="53"/>
      <c r="O460" s="85" t="s">
        <v>905</v>
      </c>
      <c r="P460" s="53">
        <v>1</v>
      </c>
      <c r="Q460" s="183">
        <v>0.25</v>
      </c>
      <c r="R460" s="84">
        <v>0.8</v>
      </c>
      <c r="S460" s="53"/>
      <c r="T460" s="53"/>
      <c r="U460" s="53">
        <v>3</v>
      </c>
      <c r="V460" s="53">
        <v>480</v>
      </c>
      <c r="W460" s="53"/>
      <c r="X460" s="53"/>
      <c r="Y460" s="53"/>
      <c r="Z460" s="53"/>
      <c r="AA460" s="53"/>
      <c r="AB460" s="53"/>
      <c r="AC460" s="137" t="s">
        <v>110</v>
      </c>
      <c r="AD460" s="138" t="s">
        <v>118</v>
      </c>
      <c r="AE460" s="83">
        <v>8760</v>
      </c>
      <c r="AF460" s="139">
        <v>1</v>
      </c>
      <c r="AG460" s="179">
        <v>1</v>
      </c>
      <c r="AH460" s="139">
        <v>1</v>
      </c>
      <c r="AI460" s="139">
        <v>1</v>
      </c>
      <c r="AJ460" s="83">
        <f t="shared" si="81"/>
        <v>3504</v>
      </c>
      <c r="AK460" s="83">
        <f t="shared" si="82"/>
        <v>5256</v>
      </c>
      <c r="AL460" s="104">
        <f t="shared" si="83"/>
        <v>0.233125</v>
      </c>
      <c r="AM460" s="104">
        <f t="shared" si="84"/>
        <v>0.233125</v>
      </c>
      <c r="AN460" s="83">
        <f t="shared" si="85"/>
        <v>816.87</v>
      </c>
      <c r="AO460" s="83">
        <f t="shared" si="86"/>
        <v>1225.3050000000001</v>
      </c>
      <c r="AP460" s="182">
        <f t="shared" si="87"/>
        <v>2.7872748018000002</v>
      </c>
      <c r="AQ460" s="182">
        <f t="shared" si="88"/>
        <v>4.1809122027000001</v>
      </c>
      <c r="AR460" s="85"/>
      <c r="AS460" s="85"/>
      <c r="AT460" s="53"/>
      <c r="AU460" s="53"/>
      <c r="AV460" s="53"/>
      <c r="AW460" s="53"/>
      <c r="AX460" s="53"/>
      <c r="AY460" s="53"/>
      <c r="AZ460" s="53"/>
      <c r="BA460" s="53"/>
      <c r="BB460" s="53"/>
      <c r="BC460" s="111">
        <f t="shared" si="89"/>
        <v>816.87</v>
      </c>
      <c r="BD460" s="111">
        <f t="shared" si="90"/>
        <v>1225.3050000000001</v>
      </c>
    </row>
    <row r="461" spans="1:56" ht="21" customHeight="1" x14ac:dyDescent="0.25">
      <c r="A461" s="53">
        <v>451</v>
      </c>
      <c r="B461" s="53"/>
      <c r="C461" s="53"/>
      <c r="D461" s="53" t="s">
        <v>135</v>
      </c>
      <c r="E461" s="53"/>
      <c r="F461" s="53"/>
      <c r="G461" s="53" t="s">
        <v>211</v>
      </c>
      <c r="H461" s="53" t="s">
        <v>557</v>
      </c>
      <c r="I461" s="85" t="s">
        <v>558</v>
      </c>
      <c r="J461" s="85" t="s">
        <v>831</v>
      </c>
      <c r="K461" s="85" t="s">
        <v>832</v>
      </c>
      <c r="L461" s="53" t="s">
        <v>216</v>
      </c>
      <c r="M461" s="53" t="s">
        <v>295</v>
      </c>
      <c r="N461" s="53"/>
      <c r="O461" s="85" t="s">
        <v>833</v>
      </c>
      <c r="P461" s="53">
        <v>1</v>
      </c>
      <c r="Q461" s="183">
        <v>0.75</v>
      </c>
      <c r="R461" s="84">
        <v>0.8</v>
      </c>
      <c r="S461" s="53"/>
      <c r="T461" s="53"/>
      <c r="U461" s="53">
        <v>3</v>
      </c>
      <c r="V461" s="53">
        <v>480</v>
      </c>
      <c r="W461" s="53"/>
      <c r="X461" s="53"/>
      <c r="Y461" s="53"/>
      <c r="Z461" s="53"/>
      <c r="AA461" s="53"/>
      <c r="AB461" s="53"/>
      <c r="AC461" s="137" t="s">
        <v>110</v>
      </c>
      <c r="AD461" s="138" t="s">
        <v>118</v>
      </c>
      <c r="AE461" s="83">
        <v>8760</v>
      </c>
      <c r="AF461" s="139">
        <v>1</v>
      </c>
      <c r="AG461" s="179">
        <v>1</v>
      </c>
      <c r="AH461" s="139">
        <v>1</v>
      </c>
      <c r="AI461" s="139">
        <v>1</v>
      </c>
      <c r="AJ461" s="83">
        <f t="shared" si="81"/>
        <v>3504</v>
      </c>
      <c r="AK461" s="83">
        <f t="shared" si="82"/>
        <v>5256</v>
      </c>
      <c r="AL461" s="104">
        <f t="shared" si="83"/>
        <v>0.69937499999999997</v>
      </c>
      <c r="AM461" s="104">
        <f t="shared" si="84"/>
        <v>0.69937499999999997</v>
      </c>
      <c r="AN461" s="83">
        <f t="shared" si="85"/>
        <v>2450.6099999999997</v>
      </c>
      <c r="AO461" s="83">
        <f t="shared" si="86"/>
        <v>3675.915</v>
      </c>
      <c r="AP461" s="83">
        <f t="shared" si="87"/>
        <v>8.3618244053999984</v>
      </c>
      <c r="AQ461" s="83">
        <f t="shared" si="88"/>
        <v>12.542736608099998</v>
      </c>
      <c r="AR461" s="85"/>
      <c r="AS461" s="85"/>
      <c r="AT461" s="53"/>
      <c r="AU461" s="53"/>
      <c r="AV461" s="53"/>
      <c r="AW461" s="53"/>
      <c r="AX461" s="53"/>
      <c r="AY461" s="53"/>
      <c r="AZ461" s="53"/>
      <c r="BA461" s="53"/>
      <c r="BB461" s="53"/>
      <c r="BC461" s="111">
        <f t="shared" si="89"/>
        <v>2450.6099999999997</v>
      </c>
      <c r="BD461" s="111">
        <f t="shared" si="90"/>
        <v>3675.915</v>
      </c>
    </row>
    <row r="462" spans="1:56" ht="21" customHeight="1" x14ac:dyDescent="0.25">
      <c r="A462" s="53">
        <v>452</v>
      </c>
      <c r="B462" s="53"/>
      <c r="C462" s="53"/>
      <c r="D462" s="53" t="s">
        <v>135</v>
      </c>
      <c r="E462" s="53"/>
      <c r="F462" s="53"/>
      <c r="G462" s="53" t="s">
        <v>211</v>
      </c>
      <c r="H462" s="53" t="s">
        <v>557</v>
      </c>
      <c r="I462" s="85" t="s">
        <v>558</v>
      </c>
      <c r="J462" s="85" t="s">
        <v>876</v>
      </c>
      <c r="K462" s="85" t="s">
        <v>877</v>
      </c>
      <c r="L462" s="53" t="s">
        <v>216</v>
      </c>
      <c r="M462" s="53" t="s">
        <v>295</v>
      </c>
      <c r="N462" s="53"/>
      <c r="O462" s="85" t="s">
        <v>878</v>
      </c>
      <c r="P462" s="53">
        <v>1</v>
      </c>
      <c r="Q462" s="183">
        <v>0.33333333333333331</v>
      </c>
      <c r="R462" s="84">
        <v>0.8</v>
      </c>
      <c r="S462" s="53"/>
      <c r="T462" s="53"/>
      <c r="U462" s="53">
        <v>3</v>
      </c>
      <c r="V462" s="53">
        <v>480</v>
      </c>
      <c r="W462" s="53"/>
      <c r="X462" s="53"/>
      <c r="Y462" s="53"/>
      <c r="Z462" s="53"/>
      <c r="AA462" s="53"/>
      <c r="AB462" s="53"/>
      <c r="AC462" s="137" t="s">
        <v>110</v>
      </c>
      <c r="AD462" s="138" t="s">
        <v>118</v>
      </c>
      <c r="AE462" s="83">
        <v>8760</v>
      </c>
      <c r="AF462" s="139">
        <v>1</v>
      </c>
      <c r="AG462" s="179">
        <v>1</v>
      </c>
      <c r="AH462" s="139">
        <v>1</v>
      </c>
      <c r="AI462" s="139">
        <v>1</v>
      </c>
      <c r="AJ462" s="83">
        <f t="shared" si="81"/>
        <v>3504</v>
      </c>
      <c r="AK462" s="83">
        <f t="shared" si="82"/>
        <v>5256</v>
      </c>
      <c r="AL462" s="104">
        <f t="shared" si="83"/>
        <v>0.31083333333333329</v>
      </c>
      <c r="AM462" s="104">
        <f t="shared" si="84"/>
        <v>0.31083333333333329</v>
      </c>
      <c r="AN462" s="83">
        <f t="shared" si="85"/>
        <v>1089.1599999999999</v>
      </c>
      <c r="AO462" s="83">
        <f t="shared" si="86"/>
        <v>1633.7399999999998</v>
      </c>
      <c r="AP462" s="182">
        <f t="shared" si="87"/>
        <v>3.7163664023999994</v>
      </c>
      <c r="AQ462" s="182">
        <f t="shared" si="88"/>
        <v>5.5745496035999995</v>
      </c>
      <c r="AR462" s="85"/>
      <c r="AS462" s="85"/>
      <c r="AT462" s="53"/>
      <c r="AU462" s="53"/>
      <c r="AV462" s="53"/>
      <c r="AW462" s="53"/>
      <c r="AX462" s="53"/>
      <c r="AY462" s="53"/>
      <c r="AZ462" s="53"/>
      <c r="BA462" s="53"/>
      <c r="BB462" s="53"/>
      <c r="BC462" s="111">
        <f t="shared" si="89"/>
        <v>1089.1599999999999</v>
      </c>
      <c r="BD462" s="111">
        <f t="shared" si="90"/>
        <v>1633.7399999999998</v>
      </c>
    </row>
    <row r="463" spans="1:56" ht="21" customHeight="1" x14ac:dyDescent="0.25">
      <c r="A463" s="53">
        <v>453</v>
      </c>
      <c r="B463" s="53"/>
      <c r="C463" s="53"/>
      <c r="D463" s="53" t="s">
        <v>135</v>
      </c>
      <c r="E463" s="53"/>
      <c r="F463" s="53"/>
      <c r="G463" s="53" t="s">
        <v>211</v>
      </c>
      <c r="H463" s="53" t="s">
        <v>557</v>
      </c>
      <c r="I463" s="85" t="s">
        <v>558</v>
      </c>
      <c r="J463" s="85" t="s">
        <v>596</v>
      </c>
      <c r="K463" s="85" t="s">
        <v>597</v>
      </c>
      <c r="L463" s="53" t="s">
        <v>216</v>
      </c>
      <c r="M463" s="53" t="s">
        <v>295</v>
      </c>
      <c r="N463" s="53"/>
      <c r="O463" s="85" t="s">
        <v>598</v>
      </c>
      <c r="P463" s="53">
        <v>1</v>
      </c>
      <c r="Q463" s="183">
        <v>3</v>
      </c>
      <c r="R463" s="84">
        <v>0.875</v>
      </c>
      <c r="S463" s="53"/>
      <c r="T463" s="53"/>
      <c r="U463" s="53">
        <v>3</v>
      </c>
      <c r="V463" s="53">
        <v>480</v>
      </c>
      <c r="W463" s="53"/>
      <c r="X463" s="53"/>
      <c r="Y463" s="53"/>
      <c r="Z463" s="53"/>
      <c r="AA463" s="53"/>
      <c r="AB463" s="53"/>
      <c r="AC463" s="137" t="s">
        <v>110</v>
      </c>
      <c r="AD463" s="138" t="s">
        <v>118</v>
      </c>
      <c r="AE463" s="83">
        <v>8760</v>
      </c>
      <c r="AF463" s="139">
        <v>1</v>
      </c>
      <c r="AG463" s="179">
        <v>1</v>
      </c>
      <c r="AH463" s="139">
        <v>1</v>
      </c>
      <c r="AI463" s="139">
        <v>1</v>
      </c>
      <c r="AJ463" s="83">
        <f t="shared" si="81"/>
        <v>3504</v>
      </c>
      <c r="AK463" s="83">
        <f t="shared" si="82"/>
        <v>5256</v>
      </c>
      <c r="AL463" s="104">
        <f t="shared" si="83"/>
        <v>2.5577142857142858</v>
      </c>
      <c r="AM463" s="104">
        <f t="shared" si="84"/>
        <v>2.5577142857142858</v>
      </c>
      <c r="AN463" s="83">
        <f t="shared" si="85"/>
        <v>8962.2308571428584</v>
      </c>
      <c r="AO463" s="83">
        <f t="shared" si="86"/>
        <v>13443.346285714286</v>
      </c>
      <c r="AP463" s="83">
        <f t="shared" si="87"/>
        <v>30.580386396891431</v>
      </c>
      <c r="AQ463" s="83">
        <f t="shared" si="88"/>
        <v>45.870579595337148</v>
      </c>
      <c r="AR463" s="85"/>
      <c r="AS463" s="85"/>
      <c r="AT463" s="53"/>
      <c r="AU463" s="53"/>
      <c r="AV463" s="53"/>
      <c r="AW463" s="53"/>
      <c r="AX463" s="53"/>
      <c r="AY463" s="53"/>
      <c r="AZ463" s="53"/>
      <c r="BA463" s="53"/>
      <c r="BB463" s="53"/>
      <c r="BC463" s="111">
        <f t="shared" si="89"/>
        <v>8962.2308571428584</v>
      </c>
      <c r="BD463" s="111">
        <f t="shared" si="90"/>
        <v>13443.346285714286</v>
      </c>
    </row>
    <row r="464" spans="1:56" ht="21" customHeight="1" x14ac:dyDescent="0.25">
      <c r="A464" s="53">
        <v>454</v>
      </c>
      <c r="B464" s="53"/>
      <c r="C464" s="53"/>
      <c r="D464" s="53" t="s">
        <v>135</v>
      </c>
      <c r="E464" s="53"/>
      <c r="F464" s="53"/>
      <c r="G464" s="53" t="s">
        <v>211</v>
      </c>
      <c r="H464" s="53" t="s">
        <v>557</v>
      </c>
      <c r="I464" s="85" t="s">
        <v>558</v>
      </c>
      <c r="J464" s="85" t="s">
        <v>596</v>
      </c>
      <c r="K464" s="85" t="s">
        <v>599</v>
      </c>
      <c r="L464" s="53" t="s">
        <v>216</v>
      </c>
      <c r="M464" s="53" t="s">
        <v>295</v>
      </c>
      <c r="N464" s="53"/>
      <c r="O464" s="85" t="s">
        <v>598</v>
      </c>
      <c r="P464" s="53">
        <v>1</v>
      </c>
      <c r="Q464" s="183">
        <v>3</v>
      </c>
      <c r="R464" s="84">
        <v>0.875</v>
      </c>
      <c r="S464" s="53"/>
      <c r="T464" s="53"/>
      <c r="U464" s="53">
        <v>3</v>
      </c>
      <c r="V464" s="53">
        <v>480</v>
      </c>
      <c r="W464" s="53"/>
      <c r="X464" s="53"/>
      <c r="Y464" s="53"/>
      <c r="Z464" s="53"/>
      <c r="AA464" s="53"/>
      <c r="AB464" s="53"/>
      <c r="AC464" s="137" t="s">
        <v>110</v>
      </c>
      <c r="AD464" s="138" t="s">
        <v>118</v>
      </c>
      <c r="AE464" s="83">
        <v>8760</v>
      </c>
      <c r="AF464" s="139">
        <v>1</v>
      </c>
      <c r="AG464" s="179">
        <v>1</v>
      </c>
      <c r="AH464" s="139">
        <v>1</v>
      </c>
      <c r="AI464" s="139">
        <v>1</v>
      </c>
      <c r="AJ464" s="83">
        <f t="shared" si="81"/>
        <v>3504</v>
      </c>
      <c r="AK464" s="83">
        <f t="shared" si="82"/>
        <v>5256</v>
      </c>
      <c r="AL464" s="104">
        <f t="shared" si="83"/>
        <v>2.5577142857142858</v>
      </c>
      <c r="AM464" s="104">
        <f t="shared" si="84"/>
        <v>2.5577142857142858</v>
      </c>
      <c r="AN464" s="83">
        <f t="shared" si="85"/>
        <v>8962.2308571428584</v>
      </c>
      <c r="AO464" s="83">
        <f t="shared" si="86"/>
        <v>13443.346285714286</v>
      </c>
      <c r="AP464" s="182">
        <f t="shared" si="87"/>
        <v>30.580386396891431</v>
      </c>
      <c r="AQ464" s="182">
        <f t="shared" si="88"/>
        <v>45.870579595337148</v>
      </c>
      <c r="AR464" s="85"/>
      <c r="AS464" s="85"/>
      <c r="AT464" s="53"/>
      <c r="AU464" s="53"/>
      <c r="AV464" s="53"/>
      <c r="AW464" s="53"/>
      <c r="AX464" s="53"/>
      <c r="AY464" s="53"/>
      <c r="AZ464" s="53"/>
      <c r="BA464" s="53"/>
      <c r="BB464" s="53"/>
      <c r="BC464" s="111">
        <f t="shared" si="89"/>
        <v>8962.2308571428584</v>
      </c>
      <c r="BD464" s="111">
        <f t="shared" si="90"/>
        <v>13443.346285714286</v>
      </c>
    </row>
    <row r="465" spans="1:56" ht="21" customHeight="1" x14ac:dyDescent="0.25">
      <c r="A465" s="53">
        <v>455</v>
      </c>
      <c r="B465" s="53"/>
      <c r="C465" s="53"/>
      <c r="D465" s="53" t="s">
        <v>135</v>
      </c>
      <c r="E465" s="53"/>
      <c r="F465" s="53"/>
      <c r="G465" s="53" t="s">
        <v>211</v>
      </c>
      <c r="H465" s="53" t="s">
        <v>557</v>
      </c>
      <c r="I465" s="85" t="s">
        <v>558</v>
      </c>
      <c r="J465" s="85" t="s">
        <v>834</v>
      </c>
      <c r="K465" s="85" t="s">
        <v>835</v>
      </c>
      <c r="L465" s="53" t="s">
        <v>216</v>
      </c>
      <c r="M465" s="53" t="s">
        <v>295</v>
      </c>
      <c r="N465" s="53"/>
      <c r="O465" s="85" t="s">
        <v>833</v>
      </c>
      <c r="P465" s="53">
        <v>1</v>
      </c>
      <c r="Q465" s="183">
        <v>0.75</v>
      </c>
      <c r="R465" s="84">
        <v>0.8</v>
      </c>
      <c r="S465" s="53"/>
      <c r="T465" s="53"/>
      <c r="U465" s="53">
        <v>3</v>
      </c>
      <c r="V465" s="53">
        <v>480</v>
      </c>
      <c r="W465" s="53"/>
      <c r="X465" s="53"/>
      <c r="Y465" s="53"/>
      <c r="Z465" s="53"/>
      <c r="AA465" s="53"/>
      <c r="AB465" s="53"/>
      <c r="AC465" s="137" t="s">
        <v>110</v>
      </c>
      <c r="AD465" s="138" t="s">
        <v>118</v>
      </c>
      <c r="AE465" s="83">
        <v>8760</v>
      </c>
      <c r="AF465" s="139">
        <v>1</v>
      </c>
      <c r="AG465" s="179">
        <v>1</v>
      </c>
      <c r="AH465" s="139">
        <v>1</v>
      </c>
      <c r="AI465" s="139">
        <v>1</v>
      </c>
      <c r="AJ465" s="83">
        <f t="shared" si="81"/>
        <v>3504</v>
      </c>
      <c r="AK465" s="83">
        <f t="shared" si="82"/>
        <v>5256</v>
      </c>
      <c r="AL465" s="104">
        <f t="shared" si="83"/>
        <v>0.69937499999999997</v>
      </c>
      <c r="AM465" s="104">
        <f t="shared" si="84"/>
        <v>0.69937499999999997</v>
      </c>
      <c r="AN465" s="83">
        <f t="shared" si="85"/>
        <v>2450.6099999999997</v>
      </c>
      <c r="AO465" s="83">
        <f t="shared" si="86"/>
        <v>3675.915</v>
      </c>
      <c r="AP465" s="83">
        <f t="shared" si="87"/>
        <v>8.3618244053999984</v>
      </c>
      <c r="AQ465" s="83">
        <f t="shared" si="88"/>
        <v>12.542736608099998</v>
      </c>
      <c r="AR465" s="85"/>
      <c r="AS465" s="85"/>
      <c r="AT465" s="53"/>
      <c r="AU465" s="53"/>
      <c r="AV465" s="53"/>
      <c r="AW465" s="53"/>
      <c r="AX465" s="53"/>
      <c r="AY465" s="53"/>
      <c r="AZ465" s="53"/>
      <c r="BA465" s="53"/>
      <c r="BB465" s="53"/>
      <c r="BC465" s="111">
        <f t="shared" si="89"/>
        <v>2450.6099999999997</v>
      </c>
      <c r="BD465" s="111">
        <f t="shared" si="90"/>
        <v>3675.915</v>
      </c>
    </row>
    <row r="466" spans="1:56" ht="21" customHeight="1" x14ac:dyDescent="0.25">
      <c r="A466" s="53">
        <v>456</v>
      </c>
      <c r="B466" s="53"/>
      <c r="C466" s="53"/>
      <c r="D466" s="53" t="s">
        <v>135</v>
      </c>
      <c r="E466" s="53"/>
      <c r="F466" s="53"/>
      <c r="G466" s="53" t="s">
        <v>211</v>
      </c>
      <c r="H466" s="53" t="s">
        <v>557</v>
      </c>
      <c r="I466" s="85" t="s">
        <v>558</v>
      </c>
      <c r="J466" s="85" t="s">
        <v>699</v>
      </c>
      <c r="K466" s="85" t="s">
        <v>700</v>
      </c>
      <c r="L466" s="53" t="s">
        <v>216</v>
      </c>
      <c r="M466" s="53" t="s">
        <v>295</v>
      </c>
      <c r="N466" s="53"/>
      <c r="O466" s="85" t="s">
        <v>701</v>
      </c>
      <c r="P466" s="53">
        <v>1</v>
      </c>
      <c r="Q466" s="183">
        <v>2</v>
      </c>
      <c r="R466" s="84">
        <v>0.84</v>
      </c>
      <c r="S466" s="53"/>
      <c r="T466" s="53"/>
      <c r="U466" s="53">
        <v>3</v>
      </c>
      <c r="V466" s="53">
        <v>480</v>
      </c>
      <c r="W466" s="53"/>
      <c r="X466" s="53"/>
      <c r="Y466" s="53"/>
      <c r="Z466" s="53"/>
      <c r="AA466" s="53"/>
      <c r="AB466" s="53"/>
      <c r="AC466" s="137" t="s">
        <v>110</v>
      </c>
      <c r="AD466" s="138" t="s">
        <v>118</v>
      </c>
      <c r="AE466" s="83">
        <v>8760</v>
      </c>
      <c r="AF466" s="139">
        <v>1</v>
      </c>
      <c r="AG466" s="179">
        <v>1</v>
      </c>
      <c r="AH466" s="139">
        <v>1</v>
      </c>
      <c r="AI466" s="139">
        <v>1</v>
      </c>
      <c r="AJ466" s="83">
        <f t="shared" si="81"/>
        <v>3504</v>
      </c>
      <c r="AK466" s="83">
        <f t="shared" si="82"/>
        <v>5256</v>
      </c>
      <c r="AL466" s="104">
        <f t="shared" si="83"/>
        <v>1.7761904761904763</v>
      </c>
      <c r="AM466" s="104">
        <f t="shared" si="84"/>
        <v>1.7761904761904763</v>
      </c>
      <c r="AN466" s="83">
        <f t="shared" si="85"/>
        <v>6223.7714285714292</v>
      </c>
      <c r="AO466" s="83">
        <f t="shared" si="86"/>
        <v>9335.6571428571442</v>
      </c>
      <c r="AP466" s="182">
        <f t="shared" si="87"/>
        <v>21.236379442285717</v>
      </c>
      <c r="AQ466" s="182">
        <f t="shared" si="88"/>
        <v>31.854569163428575</v>
      </c>
      <c r="AR466" s="85"/>
      <c r="AS466" s="85"/>
      <c r="AT466" s="53"/>
      <c r="AU466" s="53"/>
      <c r="AV466" s="53"/>
      <c r="AW466" s="53"/>
      <c r="AX466" s="53"/>
      <c r="AY466" s="53"/>
      <c r="AZ466" s="53"/>
      <c r="BA466" s="53"/>
      <c r="BB466" s="53"/>
      <c r="BC466" s="111">
        <f t="shared" si="89"/>
        <v>6223.7714285714292</v>
      </c>
      <c r="BD466" s="111">
        <f t="shared" si="90"/>
        <v>9335.6571428571442</v>
      </c>
    </row>
    <row r="467" spans="1:56" ht="21" customHeight="1" x14ac:dyDescent="0.25">
      <c r="A467" s="53">
        <v>457</v>
      </c>
      <c r="B467" s="53"/>
      <c r="C467" s="53"/>
      <c r="D467" s="53" t="s">
        <v>135</v>
      </c>
      <c r="E467" s="53"/>
      <c r="F467" s="53"/>
      <c r="G467" s="53" t="s">
        <v>211</v>
      </c>
      <c r="H467" s="53" t="s">
        <v>557</v>
      </c>
      <c r="I467" s="85" t="s">
        <v>558</v>
      </c>
      <c r="J467" s="85" t="s">
        <v>699</v>
      </c>
      <c r="K467" s="85" t="s">
        <v>865</v>
      </c>
      <c r="L467" s="53" t="s">
        <v>216</v>
      </c>
      <c r="M467" s="53" t="s">
        <v>295</v>
      </c>
      <c r="N467" s="53"/>
      <c r="O467" s="85" t="s">
        <v>866</v>
      </c>
      <c r="P467" s="53">
        <v>1</v>
      </c>
      <c r="Q467" s="183">
        <v>0.5</v>
      </c>
      <c r="R467" s="84">
        <v>0.8</v>
      </c>
      <c r="S467" s="53"/>
      <c r="T467" s="53"/>
      <c r="U467" s="53">
        <v>3</v>
      </c>
      <c r="V467" s="53">
        <v>480</v>
      </c>
      <c r="W467" s="53"/>
      <c r="X467" s="53"/>
      <c r="Y467" s="53"/>
      <c r="Z467" s="53"/>
      <c r="AA467" s="53"/>
      <c r="AB467" s="53"/>
      <c r="AC467" s="137" t="s">
        <v>110</v>
      </c>
      <c r="AD467" s="138" t="s">
        <v>118</v>
      </c>
      <c r="AE467" s="83">
        <v>8760</v>
      </c>
      <c r="AF467" s="139">
        <v>1</v>
      </c>
      <c r="AG467" s="179">
        <v>1</v>
      </c>
      <c r="AH467" s="139">
        <v>1</v>
      </c>
      <c r="AI467" s="139">
        <v>1</v>
      </c>
      <c r="AJ467" s="83">
        <f t="shared" si="81"/>
        <v>3504</v>
      </c>
      <c r="AK467" s="83">
        <f t="shared" si="82"/>
        <v>5256</v>
      </c>
      <c r="AL467" s="104">
        <f t="shared" si="83"/>
        <v>0.46625</v>
      </c>
      <c r="AM467" s="104">
        <f t="shared" si="84"/>
        <v>0.46625</v>
      </c>
      <c r="AN467" s="83">
        <f t="shared" si="85"/>
        <v>1633.74</v>
      </c>
      <c r="AO467" s="83">
        <f t="shared" si="86"/>
        <v>2450.61</v>
      </c>
      <c r="AP467" s="83">
        <f t="shared" si="87"/>
        <v>5.5745496036000004</v>
      </c>
      <c r="AQ467" s="83">
        <f t="shared" si="88"/>
        <v>8.3618244054000002</v>
      </c>
      <c r="AR467" s="85"/>
      <c r="AS467" s="85"/>
      <c r="AT467" s="53"/>
      <c r="AU467" s="53"/>
      <c r="AV467" s="53"/>
      <c r="AW467" s="53"/>
      <c r="AX467" s="53"/>
      <c r="AY467" s="53"/>
      <c r="AZ467" s="53"/>
      <c r="BA467" s="53"/>
      <c r="BB467" s="53"/>
      <c r="BC467" s="111">
        <f t="shared" si="89"/>
        <v>1633.74</v>
      </c>
      <c r="BD467" s="111">
        <f t="shared" si="90"/>
        <v>2450.61</v>
      </c>
    </row>
    <row r="468" spans="1:56" ht="21" customHeight="1" x14ac:dyDescent="0.25">
      <c r="A468" s="53">
        <v>458</v>
      </c>
      <c r="B468" s="53"/>
      <c r="C468" s="53"/>
      <c r="D468" s="53" t="s">
        <v>135</v>
      </c>
      <c r="E468" s="53"/>
      <c r="F468" s="53"/>
      <c r="G468" s="53" t="s">
        <v>211</v>
      </c>
      <c r="H468" s="53" t="s">
        <v>557</v>
      </c>
      <c r="I468" s="85" t="s">
        <v>558</v>
      </c>
      <c r="J468" s="85" t="s">
        <v>935</v>
      </c>
      <c r="K468" s="85" t="s">
        <v>936</v>
      </c>
      <c r="L468" s="53" t="s">
        <v>216</v>
      </c>
      <c r="M468" s="53" t="s">
        <v>295</v>
      </c>
      <c r="N468" s="53"/>
      <c r="O468" s="85" t="s">
        <v>937</v>
      </c>
      <c r="P468" s="53">
        <v>1</v>
      </c>
      <c r="Q468" s="183">
        <v>0.16666666666666666</v>
      </c>
      <c r="R468" s="84">
        <v>0.8</v>
      </c>
      <c r="S468" s="53"/>
      <c r="T468" s="53"/>
      <c r="U468" s="53">
        <v>3</v>
      </c>
      <c r="V468" s="53">
        <v>480</v>
      </c>
      <c r="W468" s="53"/>
      <c r="X468" s="53"/>
      <c r="Y468" s="53"/>
      <c r="Z468" s="53"/>
      <c r="AA468" s="53"/>
      <c r="AB468" s="53"/>
      <c r="AC468" s="137" t="s">
        <v>110</v>
      </c>
      <c r="AD468" s="138" t="s">
        <v>118</v>
      </c>
      <c r="AE468" s="83">
        <v>8760</v>
      </c>
      <c r="AF468" s="139">
        <v>1</v>
      </c>
      <c r="AG468" s="179">
        <v>1</v>
      </c>
      <c r="AH468" s="139">
        <v>1</v>
      </c>
      <c r="AI468" s="139">
        <v>1</v>
      </c>
      <c r="AJ468" s="83">
        <f t="shared" si="81"/>
        <v>3504</v>
      </c>
      <c r="AK468" s="83">
        <f t="shared" si="82"/>
        <v>5256</v>
      </c>
      <c r="AL468" s="104">
        <f t="shared" si="83"/>
        <v>0.15541666666666665</v>
      </c>
      <c r="AM468" s="104">
        <f t="shared" si="84"/>
        <v>0.15541666666666665</v>
      </c>
      <c r="AN468" s="83">
        <f t="shared" si="85"/>
        <v>544.57999999999993</v>
      </c>
      <c r="AO468" s="83">
        <f t="shared" si="86"/>
        <v>816.86999999999989</v>
      </c>
      <c r="AP468" s="182">
        <f t="shared" si="87"/>
        <v>1.8581832011999997</v>
      </c>
      <c r="AQ468" s="182">
        <f t="shared" si="88"/>
        <v>2.7872748017999998</v>
      </c>
      <c r="AR468" s="85"/>
      <c r="AS468" s="85"/>
      <c r="AT468" s="53"/>
      <c r="AU468" s="53"/>
      <c r="AV468" s="53"/>
      <c r="AW468" s="53"/>
      <c r="AX468" s="53"/>
      <c r="AY468" s="53"/>
      <c r="AZ468" s="53"/>
      <c r="BA468" s="53"/>
      <c r="BB468" s="53"/>
      <c r="BC468" s="111">
        <f t="shared" si="89"/>
        <v>544.57999999999993</v>
      </c>
      <c r="BD468" s="111">
        <f t="shared" si="90"/>
        <v>816.86999999999989</v>
      </c>
    </row>
    <row r="469" spans="1:56" ht="21" customHeight="1" x14ac:dyDescent="0.25">
      <c r="A469" s="53">
        <v>459</v>
      </c>
      <c r="B469" s="53"/>
      <c r="C469" s="53"/>
      <c r="D469" s="53" t="s">
        <v>135</v>
      </c>
      <c r="E469" s="53"/>
      <c r="F469" s="53"/>
      <c r="G469" s="53" t="s">
        <v>211</v>
      </c>
      <c r="H469" s="53" t="s">
        <v>557</v>
      </c>
      <c r="I469" s="85" t="s">
        <v>558</v>
      </c>
      <c r="J469" s="85" t="s">
        <v>879</v>
      </c>
      <c r="K469" s="85" t="s">
        <v>880</v>
      </c>
      <c r="L469" s="53" t="s">
        <v>216</v>
      </c>
      <c r="M469" s="53" t="s">
        <v>295</v>
      </c>
      <c r="N469" s="53"/>
      <c r="O469" s="85" t="s">
        <v>881</v>
      </c>
      <c r="P469" s="53">
        <v>1</v>
      </c>
      <c r="Q469" s="183">
        <v>0.33333333333333331</v>
      </c>
      <c r="R469" s="84">
        <v>0.8</v>
      </c>
      <c r="S469" s="53"/>
      <c r="T469" s="53"/>
      <c r="U469" s="53">
        <v>3</v>
      </c>
      <c r="V469" s="53">
        <v>480</v>
      </c>
      <c r="W469" s="53"/>
      <c r="X469" s="53"/>
      <c r="Y469" s="53"/>
      <c r="Z469" s="53"/>
      <c r="AA469" s="53"/>
      <c r="AB469" s="53"/>
      <c r="AC469" s="137" t="s">
        <v>110</v>
      </c>
      <c r="AD469" s="138" t="s">
        <v>118</v>
      </c>
      <c r="AE469" s="83">
        <v>8760</v>
      </c>
      <c r="AF469" s="139">
        <v>1</v>
      </c>
      <c r="AG469" s="179">
        <v>1</v>
      </c>
      <c r="AH469" s="139">
        <v>1</v>
      </c>
      <c r="AI469" s="139">
        <v>1</v>
      </c>
      <c r="AJ469" s="83">
        <f t="shared" si="81"/>
        <v>3504</v>
      </c>
      <c r="AK469" s="83">
        <f t="shared" si="82"/>
        <v>5256</v>
      </c>
      <c r="AL469" s="104">
        <f t="shared" si="83"/>
        <v>0.31083333333333329</v>
      </c>
      <c r="AM469" s="104">
        <f t="shared" si="84"/>
        <v>0.31083333333333329</v>
      </c>
      <c r="AN469" s="83">
        <f t="shared" si="85"/>
        <v>1089.1599999999999</v>
      </c>
      <c r="AO469" s="83">
        <f t="shared" si="86"/>
        <v>1633.7399999999998</v>
      </c>
      <c r="AP469" s="83">
        <f t="shared" si="87"/>
        <v>3.7163664023999994</v>
      </c>
      <c r="AQ469" s="83">
        <f t="shared" si="88"/>
        <v>5.5745496035999995</v>
      </c>
      <c r="AR469" s="85"/>
      <c r="AS469" s="85"/>
      <c r="AT469" s="53"/>
      <c r="AU469" s="53"/>
      <c r="AV469" s="53"/>
      <c r="AW469" s="53"/>
      <c r="AX469" s="53"/>
      <c r="AY469" s="53"/>
      <c r="AZ469" s="53"/>
      <c r="BA469" s="53"/>
      <c r="BB469" s="53"/>
      <c r="BC469" s="111">
        <f t="shared" si="89"/>
        <v>1089.1599999999999</v>
      </c>
      <c r="BD469" s="111">
        <f t="shared" si="90"/>
        <v>1633.7399999999998</v>
      </c>
    </row>
    <row r="470" spans="1:56" ht="21" customHeight="1" x14ac:dyDescent="0.25">
      <c r="A470" s="53">
        <v>460</v>
      </c>
      <c r="B470" s="53"/>
      <c r="C470" s="53"/>
      <c r="D470" s="53" t="s">
        <v>135</v>
      </c>
      <c r="E470" s="53"/>
      <c r="F470" s="53"/>
      <c r="G470" s="53" t="s">
        <v>211</v>
      </c>
      <c r="H470" s="53" t="s">
        <v>557</v>
      </c>
      <c r="I470" s="85" t="s">
        <v>558</v>
      </c>
      <c r="J470" s="85" t="s">
        <v>610</v>
      </c>
      <c r="K470" s="85" t="s">
        <v>779</v>
      </c>
      <c r="L470" s="53" t="s">
        <v>216</v>
      </c>
      <c r="M470" s="53" t="s">
        <v>295</v>
      </c>
      <c r="N470" s="53"/>
      <c r="O470" s="85" t="s">
        <v>764</v>
      </c>
      <c r="P470" s="53">
        <v>1</v>
      </c>
      <c r="Q470" s="183">
        <v>1</v>
      </c>
      <c r="R470" s="84">
        <v>0.82499999999999996</v>
      </c>
      <c r="S470" s="53"/>
      <c r="T470" s="53"/>
      <c r="U470" s="53">
        <v>3</v>
      </c>
      <c r="V470" s="53">
        <v>480</v>
      </c>
      <c r="W470" s="53"/>
      <c r="X470" s="53"/>
      <c r="Y470" s="53"/>
      <c r="Z470" s="53"/>
      <c r="AA470" s="53"/>
      <c r="AB470" s="53"/>
      <c r="AC470" s="137" t="s">
        <v>110</v>
      </c>
      <c r="AD470" s="138" t="s">
        <v>118</v>
      </c>
      <c r="AE470" s="83">
        <v>8760</v>
      </c>
      <c r="AF470" s="139">
        <v>1</v>
      </c>
      <c r="AG470" s="179">
        <v>1</v>
      </c>
      <c r="AH470" s="139">
        <v>1</v>
      </c>
      <c r="AI470" s="139">
        <v>1</v>
      </c>
      <c r="AJ470" s="83">
        <f t="shared" si="81"/>
        <v>3504</v>
      </c>
      <c r="AK470" s="83">
        <f t="shared" si="82"/>
        <v>5256</v>
      </c>
      <c r="AL470" s="104">
        <f t="shared" si="83"/>
        <v>0.90424242424242429</v>
      </c>
      <c r="AM470" s="104">
        <f t="shared" si="84"/>
        <v>0.90424242424242429</v>
      </c>
      <c r="AN470" s="83">
        <f t="shared" si="85"/>
        <v>3168.4654545454546</v>
      </c>
      <c r="AO470" s="83">
        <f t="shared" si="86"/>
        <v>4752.6981818181821</v>
      </c>
      <c r="AP470" s="182">
        <f t="shared" si="87"/>
        <v>10.811247716072726</v>
      </c>
      <c r="AQ470" s="182">
        <f t="shared" si="88"/>
        <v>16.216871574109092</v>
      </c>
      <c r="AR470" s="85"/>
      <c r="AS470" s="85"/>
      <c r="AT470" s="53"/>
      <c r="AU470" s="53"/>
      <c r="AV470" s="53"/>
      <c r="AW470" s="53"/>
      <c r="AX470" s="53"/>
      <c r="AY470" s="53"/>
      <c r="AZ470" s="53"/>
      <c r="BA470" s="53"/>
      <c r="BB470" s="53"/>
      <c r="BC470" s="111">
        <f t="shared" si="89"/>
        <v>3168.4654545454546</v>
      </c>
      <c r="BD470" s="111">
        <f t="shared" si="90"/>
        <v>4752.6981818181821</v>
      </c>
    </row>
    <row r="471" spans="1:56" ht="21" customHeight="1" x14ac:dyDescent="0.25">
      <c r="A471" s="53">
        <v>461</v>
      </c>
      <c r="B471" s="53"/>
      <c r="C471" s="53"/>
      <c r="D471" s="53" t="s">
        <v>135</v>
      </c>
      <c r="E471" s="53"/>
      <c r="F471" s="53"/>
      <c r="G471" s="53" t="s">
        <v>211</v>
      </c>
      <c r="H471" s="53" t="s">
        <v>557</v>
      </c>
      <c r="I471" s="85" t="s">
        <v>558</v>
      </c>
      <c r="J471" s="85" t="s">
        <v>600</v>
      </c>
      <c r="K471" s="85" t="s">
        <v>601</v>
      </c>
      <c r="L471" s="53" t="s">
        <v>216</v>
      </c>
      <c r="M471" s="53" t="s">
        <v>295</v>
      </c>
      <c r="N471" s="53"/>
      <c r="O471" s="85" t="s">
        <v>602</v>
      </c>
      <c r="P471" s="53">
        <v>1</v>
      </c>
      <c r="Q471" s="183">
        <v>3</v>
      </c>
      <c r="R471" s="84">
        <v>0.875</v>
      </c>
      <c r="S471" s="53"/>
      <c r="T471" s="53"/>
      <c r="U471" s="53">
        <v>3</v>
      </c>
      <c r="V471" s="53">
        <v>480</v>
      </c>
      <c r="W471" s="53"/>
      <c r="X471" s="53"/>
      <c r="Y471" s="53"/>
      <c r="Z471" s="53"/>
      <c r="AA471" s="53"/>
      <c r="AB471" s="53"/>
      <c r="AC471" s="137" t="s">
        <v>110</v>
      </c>
      <c r="AD471" s="138" t="s">
        <v>118</v>
      </c>
      <c r="AE471" s="83">
        <v>8760</v>
      </c>
      <c r="AF471" s="139">
        <v>1</v>
      </c>
      <c r="AG471" s="179">
        <v>1</v>
      </c>
      <c r="AH471" s="139">
        <v>1</v>
      </c>
      <c r="AI471" s="139">
        <v>1</v>
      </c>
      <c r="AJ471" s="83">
        <f t="shared" si="81"/>
        <v>3504</v>
      </c>
      <c r="AK471" s="83">
        <f t="shared" si="82"/>
        <v>5256</v>
      </c>
      <c r="AL471" s="104">
        <f t="shared" si="83"/>
        <v>2.5577142857142858</v>
      </c>
      <c r="AM471" s="104">
        <f t="shared" si="84"/>
        <v>2.5577142857142858</v>
      </c>
      <c r="AN471" s="83">
        <f t="shared" si="85"/>
        <v>8962.2308571428584</v>
      </c>
      <c r="AO471" s="83">
        <f t="shared" si="86"/>
        <v>13443.346285714286</v>
      </c>
      <c r="AP471" s="83">
        <f t="shared" si="87"/>
        <v>30.580386396891431</v>
      </c>
      <c r="AQ471" s="83">
        <f t="shared" si="88"/>
        <v>45.870579595337148</v>
      </c>
      <c r="AR471" s="85"/>
      <c r="AS471" s="85"/>
      <c r="AT471" s="53"/>
      <c r="AU471" s="53"/>
      <c r="AV471" s="53"/>
      <c r="AW471" s="53"/>
      <c r="AX471" s="53"/>
      <c r="AY471" s="53"/>
      <c r="AZ471" s="53"/>
      <c r="BA471" s="53"/>
      <c r="BB471" s="53"/>
      <c r="BC471" s="111">
        <f t="shared" si="89"/>
        <v>8962.2308571428584</v>
      </c>
      <c r="BD471" s="111">
        <f t="shared" si="90"/>
        <v>13443.346285714286</v>
      </c>
    </row>
    <row r="472" spans="1:56" ht="21" customHeight="1" x14ac:dyDescent="0.25">
      <c r="A472" s="53">
        <v>462</v>
      </c>
      <c r="B472" s="53"/>
      <c r="C472" s="53"/>
      <c r="D472" s="53" t="s">
        <v>135</v>
      </c>
      <c r="E472" s="53"/>
      <c r="F472" s="53"/>
      <c r="G472" s="53" t="s">
        <v>211</v>
      </c>
      <c r="H472" s="53" t="s">
        <v>557</v>
      </c>
      <c r="I472" s="85" t="s">
        <v>558</v>
      </c>
      <c r="J472" s="85" t="s">
        <v>882</v>
      </c>
      <c r="K472" s="85" t="s">
        <v>883</v>
      </c>
      <c r="L472" s="53" t="s">
        <v>216</v>
      </c>
      <c r="M472" s="53" t="s">
        <v>295</v>
      </c>
      <c r="N472" s="53"/>
      <c r="O472" s="85" t="s">
        <v>884</v>
      </c>
      <c r="P472" s="53">
        <v>1</v>
      </c>
      <c r="Q472" s="183">
        <v>0.33333333333333331</v>
      </c>
      <c r="R472" s="84">
        <v>0.8</v>
      </c>
      <c r="S472" s="53"/>
      <c r="T472" s="53"/>
      <c r="U472" s="53">
        <v>3</v>
      </c>
      <c r="V472" s="53">
        <v>480</v>
      </c>
      <c r="W472" s="53"/>
      <c r="X472" s="53"/>
      <c r="Y472" s="53"/>
      <c r="Z472" s="53"/>
      <c r="AA472" s="53"/>
      <c r="AB472" s="53"/>
      <c r="AC472" s="137" t="s">
        <v>110</v>
      </c>
      <c r="AD472" s="138" t="s">
        <v>118</v>
      </c>
      <c r="AE472" s="83">
        <v>8760</v>
      </c>
      <c r="AF472" s="139">
        <v>1</v>
      </c>
      <c r="AG472" s="179">
        <v>1</v>
      </c>
      <c r="AH472" s="139">
        <v>1</v>
      </c>
      <c r="AI472" s="139">
        <v>1</v>
      </c>
      <c r="AJ472" s="83">
        <f t="shared" si="81"/>
        <v>3504</v>
      </c>
      <c r="AK472" s="83">
        <f t="shared" si="82"/>
        <v>5256</v>
      </c>
      <c r="AL472" s="104">
        <f t="shared" si="83"/>
        <v>0.31083333333333329</v>
      </c>
      <c r="AM472" s="104">
        <f t="shared" si="84"/>
        <v>0.31083333333333329</v>
      </c>
      <c r="AN472" s="83">
        <f t="shared" si="85"/>
        <v>1089.1599999999999</v>
      </c>
      <c r="AO472" s="83">
        <f t="shared" si="86"/>
        <v>1633.7399999999998</v>
      </c>
      <c r="AP472" s="182">
        <f t="shared" si="87"/>
        <v>3.7163664023999994</v>
      </c>
      <c r="AQ472" s="182">
        <f t="shared" si="88"/>
        <v>5.5745496035999995</v>
      </c>
      <c r="AR472" s="85"/>
      <c r="AS472" s="85"/>
      <c r="AT472" s="53"/>
      <c r="AU472" s="53"/>
      <c r="AV472" s="53"/>
      <c r="AW472" s="53"/>
      <c r="AX472" s="53"/>
      <c r="AY472" s="53"/>
      <c r="AZ472" s="53"/>
      <c r="BA472" s="53"/>
      <c r="BB472" s="53"/>
      <c r="BC472" s="111">
        <f t="shared" si="89"/>
        <v>1089.1599999999999</v>
      </c>
      <c r="BD472" s="111">
        <f t="shared" si="90"/>
        <v>1633.7399999999998</v>
      </c>
    </row>
    <row r="473" spans="1:56" ht="21" customHeight="1" x14ac:dyDescent="0.25">
      <c r="A473" s="53">
        <v>463</v>
      </c>
      <c r="B473" s="53"/>
      <c r="C473" s="53"/>
      <c r="D473" s="53" t="s">
        <v>135</v>
      </c>
      <c r="E473" s="53"/>
      <c r="F473" s="53"/>
      <c r="G473" s="53" t="s">
        <v>211</v>
      </c>
      <c r="H473" s="53" t="s">
        <v>557</v>
      </c>
      <c r="I473" s="85" t="s">
        <v>558</v>
      </c>
      <c r="J473" s="85" t="s">
        <v>559</v>
      </c>
      <c r="K473" s="85" t="s">
        <v>780</v>
      </c>
      <c r="L473" s="53" t="s">
        <v>216</v>
      </c>
      <c r="M473" s="53" t="s">
        <v>295</v>
      </c>
      <c r="N473" s="53"/>
      <c r="O473" s="85" t="s">
        <v>781</v>
      </c>
      <c r="P473" s="53">
        <v>1</v>
      </c>
      <c r="Q473" s="183">
        <v>1</v>
      </c>
      <c r="R473" s="84">
        <v>0.82499999999999996</v>
      </c>
      <c r="S473" s="53"/>
      <c r="T473" s="53"/>
      <c r="U473" s="53">
        <v>3</v>
      </c>
      <c r="V473" s="53">
        <v>480</v>
      </c>
      <c r="W473" s="53"/>
      <c r="X473" s="53"/>
      <c r="Y473" s="53"/>
      <c r="Z473" s="53"/>
      <c r="AA473" s="53"/>
      <c r="AB473" s="53"/>
      <c r="AC473" s="137" t="s">
        <v>110</v>
      </c>
      <c r="AD473" s="138" t="s">
        <v>118</v>
      </c>
      <c r="AE473" s="83">
        <v>8760</v>
      </c>
      <c r="AF473" s="139">
        <v>1</v>
      </c>
      <c r="AG473" s="179">
        <v>1</v>
      </c>
      <c r="AH473" s="139">
        <v>1</v>
      </c>
      <c r="AI473" s="139">
        <v>1</v>
      </c>
      <c r="AJ473" s="83">
        <f t="shared" si="81"/>
        <v>3504</v>
      </c>
      <c r="AK473" s="83">
        <f t="shared" si="82"/>
        <v>5256</v>
      </c>
      <c r="AL473" s="104">
        <f t="shared" si="83"/>
        <v>0.90424242424242429</v>
      </c>
      <c r="AM473" s="104">
        <f t="shared" si="84"/>
        <v>0.90424242424242429</v>
      </c>
      <c r="AN473" s="83">
        <f t="shared" si="85"/>
        <v>3168.4654545454546</v>
      </c>
      <c r="AO473" s="83">
        <f t="shared" si="86"/>
        <v>4752.6981818181821</v>
      </c>
      <c r="AP473" s="83">
        <f t="shared" si="87"/>
        <v>10.811247716072726</v>
      </c>
      <c r="AQ473" s="83">
        <f t="shared" si="88"/>
        <v>16.216871574109092</v>
      </c>
      <c r="AR473" s="85"/>
      <c r="AS473" s="85"/>
      <c r="AT473" s="53"/>
      <c r="AU473" s="53"/>
      <c r="AV473" s="53"/>
      <c r="AW473" s="53"/>
      <c r="AX473" s="53"/>
      <c r="AY473" s="53"/>
      <c r="AZ473" s="53"/>
      <c r="BA473" s="53"/>
      <c r="BB473" s="53"/>
      <c r="BC473" s="111">
        <f t="shared" si="89"/>
        <v>3168.4654545454546</v>
      </c>
      <c r="BD473" s="111">
        <f t="shared" si="90"/>
        <v>4752.6981818181821</v>
      </c>
    </row>
    <row r="474" spans="1:56" ht="21" customHeight="1" x14ac:dyDescent="0.25">
      <c r="A474" s="53">
        <v>464</v>
      </c>
      <c r="B474" s="53"/>
      <c r="C474" s="53"/>
      <c r="D474" s="53" t="s">
        <v>135</v>
      </c>
      <c r="E474" s="53"/>
      <c r="F474" s="53"/>
      <c r="G474" s="53" t="s">
        <v>211</v>
      </c>
      <c r="H474" s="53" t="s">
        <v>557</v>
      </c>
      <c r="I474" s="85" t="s">
        <v>558</v>
      </c>
      <c r="J474" s="85" t="s">
        <v>559</v>
      </c>
      <c r="K474" s="85" t="s">
        <v>782</v>
      </c>
      <c r="L474" s="53" t="s">
        <v>216</v>
      </c>
      <c r="M474" s="53" t="s">
        <v>295</v>
      </c>
      <c r="N474" s="53"/>
      <c r="O474" s="85" t="s">
        <v>781</v>
      </c>
      <c r="P474" s="53">
        <v>1</v>
      </c>
      <c r="Q474" s="183">
        <v>1</v>
      </c>
      <c r="R474" s="84">
        <v>0.82499999999999996</v>
      </c>
      <c r="S474" s="53"/>
      <c r="T474" s="53"/>
      <c r="U474" s="53">
        <v>3</v>
      </c>
      <c r="V474" s="53">
        <v>480</v>
      </c>
      <c r="W474" s="53"/>
      <c r="X474" s="53"/>
      <c r="Y474" s="53"/>
      <c r="Z474" s="53"/>
      <c r="AA474" s="53"/>
      <c r="AB474" s="53"/>
      <c r="AC474" s="137" t="s">
        <v>110</v>
      </c>
      <c r="AD474" s="138" t="s">
        <v>118</v>
      </c>
      <c r="AE474" s="83">
        <v>8760</v>
      </c>
      <c r="AF474" s="139">
        <v>1</v>
      </c>
      <c r="AG474" s="179">
        <v>1</v>
      </c>
      <c r="AH474" s="139">
        <v>1</v>
      </c>
      <c r="AI474" s="139">
        <v>1</v>
      </c>
      <c r="AJ474" s="83">
        <f t="shared" si="81"/>
        <v>3504</v>
      </c>
      <c r="AK474" s="83">
        <f t="shared" si="82"/>
        <v>5256</v>
      </c>
      <c r="AL474" s="104">
        <f t="shared" si="83"/>
        <v>0.90424242424242429</v>
      </c>
      <c r="AM474" s="104">
        <f t="shared" si="84"/>
        <v>0.90424242424242429</v>
      </c>
      <c r="AN474" s="83">
        <f t="shared" si="85"/>
        <v>3168.4654545454546</v>
      </c>
      <c r="AO474" s="83">
        <f t="shared" si="86"/>
        <v>4752.6981818181821</v>
      </c>
      <c r="AP474" s="182">
        <f t="shared" si="87"/>
        <v>10.811247716072726</v>
      </c>
      <c r="AQ474" s="182">
        <f t="shared" si="88"/>
        <v>16.216871574109092</v>
      </c>
      <c r="AR474" s="85"/>
      <c r="AS474" s="85"/>
      <c r="AT474" s="53"/>
      <c r="AU474" s="53"/>
      <c r="AV474" s="53"/>
      <c r="AW474" s="53"/>
      <c r="AX474" s="53"/>
      <c r="AY474" s="53"/>
      <c r="AZ474" s="53"/>
      <c r="BA474" s="53"/>
      <c r="BB474" s="53"/>
      <c r="BC474" s="111">
        <f t="shared" si="89"/>
        <v>3168.4654545454546</v>
      </c>
      <c r="BD474" s="111">
        <f t="shared" si="90"/>
        <v>4752.6981818181821</v>
      </c>
    </row>
    <row r="475" spans="1:56" ht="21" customHeight="1" x14ac:dyDescent="0.25">
      <c r="A475" s="53">
        <v>465</v>
      </c>
      <c r="B475" s="53"/>
      <c r="C475" s="53"/>
      <c r="D475" s="53" t="s">
        <v>135</v>
      </c>
      <c r="E475" s="53"/>
      <c r="F475" s="53"/>
      <c r="G475" s="53" t="s">
        <v>211</v>
      </c>
      <c r="H475" s="53" t="s">
        <v>557</v>
      </c>
      <c r="I475" s="85" t="s">
        <v>558</v>
      </c>
      <c r="J475" s="85" t="s">
        <v>603</v>
      </c>
      <c r="K475" s="85" t="s">
        <v>604</v>
      </c>
      <c r="L475" s="53" t="s">
        <v>216</v>
      </c>
      <c r="M475" s="53" t="s">
        <v>295</v>
      </c>
      <c r="N475" s="53"/>
      <c r="O475" s="85" t="s">
        <v>605</v>
      </c>
      <c r="P475" s="53">
        <v>1</v>
      </c>
      <c r="Q475" s="183">
        <v>3</v>
      </c>
      <c r="R475" s="84">
        <v>0.875</v>
      </c>
      <c r="S475" s="53"/>
      <c r="T475" s="53"/>
      <c r="U475" s="53">
        <v>3</v>
      </c>
      <c r="V475" s="53">
        <v>480</v>
      </c>
      <c r="W475" s="53"/>
      <c r="X475" s="53"/>
      <c r="Y475" s="53"/>
      <c r="Z475" s="53"/>
      <c r="AA475" s="53"/>
      <c r="AB475" s="53"/>
      <c r="AC475" s="137" t="s">
        <v>110</v>
      </c>
      <c r="AD475" s="138" t="s">
        <v>118</v>
      </c>
      <c r="AE475" s="83">
        <v>8760</v>
      </c>
      <c r="AF475" s="139">
        <v>1</v>
      </c>
      <c r="AG475" s="179">
        <v>1</v>
      </c>
      <c r="AH475" s="139">
        <v>1</v>
      </c>
      <c r="AI475" s="139">
        <v>1</v>
      </c>
      <c r="AJ475" s="83">
        <f t="shared" si="81"/>
        <v>3504</v>
      </c>
      <c r="AK475" s="83">
        <f t="shared" si="82"/>
        <v>5256</v>
      </c>
      <c r="AL475" s="104">
        <f t="shared" si="83"/>
        <v>2.5577142857142858</v>
      </c>
      <c r="AM475" s="104">
        <f t="shared" si="84"/>
        <v>2.5577142857142858</v>
      </c>
      <c r="AN475" s="83">
        <f t="shared" si="85"/>
        <v>8962.2308571428584</v>
      </c>
      <c r="AO475" s="83">
        <f t="shared" si="86"/>
        <v>13443.346285714286</v>
      </c>
      <c r="AP475" s="83">
        <f t="shared" si="87"/>
        <v>30.580386396891431</v>
      </c>
      <c r="AQ475" s="83">
        <f t="shared" si="88"/>
        <v>45.870579595337148</v>
      </c>
      <c r="AR475" s="85"/>
      <c r="AS475" s="85"/>
      <c r="AT475" s="53"/>
      <c r="AU475" s="53"/>
      <c r="AV475" s="53"/>
      <c r="AW475" s="53"/>
      <c r="AX475" s="53"/>
      <c r="AY475" s="53"/>
      <c r="AZ475" s="53"/>
      <c r="BA475" s="53"/>
      <c r="BB475" s="53"/>
      <c r="BC475" s="111">
        <f t="shared" si="89"/>
        <v>8962.2308571428584</v>
      </c>
      <c r="BD475" s="111">
        <f t="shared" si="90"/>
        <v>13443.346285714286</v>
      </c>
    </row>
    <row r="476" spans="1:56" ht="21" customHeight="1" x14ac:dyDescent="0.25">
      <c r="A476" s="53">
        <v>466</v>
      </c>
      <c r="B476" s="53"/>
      <c r="C476" s="53"/>
      <c r="D476" s="53" t="s">
        <v>135</v>
      </c>
      <c r="E476" s="53"/>
      <c r="F476" s="53"/>
      <c r="G476" s="53" t="s">
        <v>211</v>
      </c>
      <c r="H476" s="53" t="s">
        <v>557</v>
      </c>
      <c r="I476" s="85" t="s">
        <v>558</v>
      </c>
      <c r="J476" s="85" t="s">
        <v>906</v>
      </c>
      <c r="K476" s="85" t="s">
        <v>907</v>
      </c>
      <c r="L476" s="53" t="s">
        <v>216</v>
      </c>
      <c r="M476" s="53" t="s">
        <v>295</v>
      </c>
      <c r="N476" s="53"/>
      <c r="O476" s="85" t="s">
        <v>908</v>
      </c>
      <c r="P476" s="53">
        <v>1</v>
      </c>
      <c r="Q476" s="183">
        <v>0.25</v>
      </c>
      <c r="R476" s="84">
        <v>0.8</v>
      </c>
      <c r="S476" s="53"/>
      <c r="T476" s="53"/>
      <c r="U476" s="53">
        <v>3</v>
      </c>
      <c r="V476" s="53">
        <v>480</v>
      </c>
      <c r="W476" s="53"/>
      <c r="X476" s="53"/>
      <c r="Y476" s="53"/>
      <c r="Z476" s="53"/>
      <c r="AA476" s="53"/>
      <c r="AB476" s="53"/>
      <c r="AC476" s="137" t="s">
        <v>110</v>
      </c>
      <c r="AD476" s="138" t="s">
        <v>118</v>
      </c>
      <c r="AE476" s="83">
        <v>8760</v>
      </c>
      <c r="AF476" s="139">
        <v>1</v>
      </c>
      <c r="AG476" s="179">
        <v>1</v>
      </c>
      <c r="AH476" s="139">
        <v>1</v>
      </c>
      <c r="AI476" s="139">
        <v>1</v>
      </c>
      <c r="AJ476" s="83">
        <f t="shared" si="81"/>
        <v>3504</v>
      </c>
      <c r="AK476" s="83">
        <f t="shared" si="82"/>
        <v>5256</v>
      </c>
      <c r="AL476" s="104">
        <f t="shared" si="83"/>
        <v>0.233125</v>
      </c>
      <c r="AM476" s="104">
        <f t="shared" si="84"/>
        <v>0.233125</v>
      </c>
      <c r="AN476" s="83">
        <f t="shared" si="85"/>
        <v>816.87</v>
      </c>
      <c r="AO476" s="83">
        <f t="shared" si="86"/>
        <v>1225.3050000000001</v>
      </c>
      <c r="AP476" s="182">
        <f t="shared" si="87"/>
        <v>2.7872748018000002</v>
      </c>
      <c r="AQ476" s="182">
        <f t="shared" si="88"/>
        <v>4.1809122027000001</v>
      </c>
      <c r="AR476" s="85"/>
      <c r="AS476" s="85"/>
      <c r="AT476" s="53"/>
      <c r="AU476" s="53"/>
      <c r="AV476" s="53"/>
      <c r="AW476" s="53"/>
      <c r="AX476" s="53"/>
      <c r="AY476" s="53"/>
      <c r="AZ476" s="53"/>
      <c r="BA476" s="53"/>
      <c r="BB476" s="53"/>
      <c r="BC476" s="111">
        <f t="shared" si="89"/>
        <v>816.87</v>
      </c>
      <c r="BD476" s="111">
        <f t="shared" si="90"/>
        <v>1225.3050000000001</v>
      </c>
    </row>
    <row r="477" spans="1:56" ht="21" customHeight="1" x14ac:dyDescent="0.25">
      <c r="A477" s="53">
        <v>467</v>
      </c>
      <c r="B477" s="53"/>
      <c r="C477" s="53"/>
      <c r="D477" s="53" t="s">
        <v>135</v>
      </c>
      <c r="E477" s="53"/>
      <c r="F477" s="53"/>
      <c r="G477" s="53" t="s">
        <v>211</v>
      </c>
      <c r="H477" s="53" t="s">
        <v>557</v>
      </c>
      <c r="I477" s="85" t="s">
        <v>558</v>
      </c>
      <c r="J477" s="85" t="s">
        <v>909</v>
      </c>
      <c r="K477" s="85" t="s">
        <v>910</v>
      </c>
      <c r="L477" s="53" t="s">
        <v>216</v>
      </c>
      <c r="M477" s="53" t="s">
        <v>295</v>
      </c>
      <c r="N477" s="53"/>
      <c r="O477" s="85" t="s">
        <v>911</v>
      </c>
      <c r="P477" s="53">
        <v>1</v>
      </c>
      <c r="Q477" s="183">
        <v>0.25</v>
      </c>
      <c r="R477" s="84">
        <v>0.8</v>
      </c>
      <c r="S477" s="53"/>
      <c r="T477" s="53"/>
      <c r="U477" s="53">
        <v>3</v>
      </c>
      <c r="V477" s="53">
        <v>480</v>
      </c>
      <c r="W477" s="53"/>
      <c r="X477" s="53"/>
      <c r="Y477" s="53"/>
      <c r="Z477" s="53"/>
      <c r="AA477" s="53"/>
      <c r="AB477" s="53"/>
      <c r="AC477" s="137" t="s">
        <v>110</v>
      </c>
      <c r="AD477" s="138" t="s">
        <v>118</v>
      </c>
      <c r="AE477" s="83">
        <v>8760</v>
      </c>
      <c r="AF477" s="139">
        <v>1</v>
      </c>
      <c r="AG477" s="179">
        <v>1</v>
      </c>
      <c r="AH477" s="139">
        <v>1</v>
      </c>
      <c r="AI477" s="139">
        <v>1</v>
      </c>
      <c r="AJ477" s="83">
        <f t="shared" si="81"/>
        <v>3504</v>
      </c>
      <c r="AK477" s="83">
        <f t="shared" si="82"/>
        <v>5256</v>
      </c>
      <c r="AL477" s="104">
        <f t="shared" si="83"/>
        <v>0.233125</v>
      </c>
      <c r="AM477" s="104">
        <f t="shared" si="84"/>
        <v>0.233125</v>
      </c>
      <c r="AN477" s="83">
        <f t="shared" si="85"/>
        <v>816.87</v>
      </c>
      <c r="AO477" s="83">
        <f t="shared" si="86"/>
        <v>1225.3050000000001</v>
      </c>
      <c r="AP477" s="83">
        <f t="shared" si="87"/>
        <v>2.7872748018000002</v>
      </c>
      <c r="AQ477" s="83">
        <f t="shared" si="88"/>
        <v>4.1809122027000001</v>
      </c>
      <c r="AR477" s="85"/>
      <c r="AS477" s="85"/>
      <c r="AT477" s="53"/>
      <c r="AU477" s="53"/>
      <c r="AV477" s="53"/>
      <c r="AW477" s="53"/>
      <c r="AX477" s="53"/>
      <c r="AY477" s="53"/>
      <c r="AZ477" s="53"/>
      <c r="BA477" s="53"/>
      <c r="BB477" s="53"/>
      <c r="BC477" s="111">
        <f t="shared" si="89"/>
        <v>816.87</v>
      </c>
      <c r="BD477" s="111">
        <f t="shared" si="90"/>
        <v>1225.3050000000001</v>
      </c>
    </row>
    <row r="478" spans="1:56" ht="21" customHeight="1" x14ac:dyDescent="0.25">
      <c r="A478" s="53">
        <v>468</v>
      </c>
      <c r="B478" s="53"/>
      <c r="C478" s="53"/>
      <c r="D478" s="53" t="s">
        <v>135</v>
      </c>
      <c r="E478" s="53"/>
      <c r="F478" s="53"/>
      <c r="G478" s="53" t="s">
        <v>211</v>
      </c>
      <c r="H478" s="53" t="s">
        <v>557</v>
      </c>
      <c r="I478" s="85" t="s">
        <v>558</v>
      </c>
      <c r="J478" s="85" t="s">
        <v>836</v>
      </c>
      <c r="K478" s="85" t="s">
        <v>837</v>
      </c>
      <c r="L478" s="53" t="s">
        <v>216</v>
      </c>
      <c r="M478" s="53" t="s">
        <v>295</v>
      </c>
      <c r="N478" s="53"/>
      <c r="O478" s="85" t="s">
        <v>838</v>
      </c>
      <c r="P478" s="53">
        <v>1</v>
      </c>
      <c r="Q478" s="183">
        <v>0.75</v>
      </c>
      <c r="R478" s="84">
        <v>0.8</v>
      </c>
      <c r="S478" s="53"/>
      <c r="T478" s="53"/>
      <c r="U478" s="53">
        <v>3</v>
      </c>
      <c r="V478" s="53">
        <v>480</v>
      </c>
      <c r="W478" s="53"/>
      <c r="X478" s="53"/>
      <c r="Y478" s="53"/>
      <c r="Z478" s="53"/>
      <c r="AA478" s="53"/>
      <c r="AB478" s="53"/>
      <c r="AC478" s="137" t="s">
        <v>110</v>
      </c>
      <c r="AD478" s="138" t="s">
        <v>118</v>
      </c>
      <c r="AE478" s="83">
        <v>8760</v>
      </c>
      <c r="AF478" s="139">
        <v>1</v>
      </c>
      <c r="AG478" s="179">
        <v>1</v>
      </c>
      <c r="AH478" s="139">
        <v>1</v>
      </c>
      <c r="AI478" s="139">
        <v>1</v>
      </c>
      <c r="AJ478" s="83">
        <f t="shared" si="81"/>
        <v>3504</v>
      </c>
      <c r="AK478" s="83">
        <f t="shared" si="82"/>
        <v>5256</v>
      </c>
      <c r="AL478" s="104">
        <f t="shared" si="83"/>
        <v>0.69937499999999997</v>
      </c>
      <c r="AM478" s="104">
        <f t="shared" si="84"/>
        <v>0.69937499999999997</v>
      </c>
      <c r="AN478" s="83">
        <f t="shared" si="85"/>
        <v>2450.6099999999997</v>
      </c>
      <c r="AO478" s="83">
        <f t="shared" si="86"/>
        <v>3675.915</v>
      </c>
      <c r="AP478" s="182">
        <f t="shared" si="87"/>
        <v>8.3618244053999984</v>
      </c>
      <c r="AQ478" s="182">
        <f t="shared" si="88"/>
        <v>12.542736608099998</v>
      </c>
      <c r="AR478" s="85"/>
      <c r="AS478" s="85"/>
      <c r="AT478" s="53"/>
      <c r="AU478" s="53"/>
      <c r="AV478" s="53"/>
      <c r="AW478" s="53"/>
      <c r="AX478" s="53"/>
      <c r="AY478" s="53"/>
      <c r="AZ478" s="53"/>
      <c r="BA478" s="53"/>
      <c r="BB478" s="53"/>
      <c r="BC478" s="111">
        <f t="shared" si="89"/>
        <v>2450.6099999999997</v>
      </c>
      <c r="BD478" s="111">
        <f t="shared" si="90"/>
        <v>3675.915</v>
      </c>
    </row>
    <row r="479" spans="1:56" ht="21" customHeight="1" x14ac:dyDescent="0.25">
      <c r="A479" s="53">
        <v>469</v>
      </c>
      <c r="B479" s="53"/>
      <c r="C479" s="53"/>
      <c r="D479" s="53" t="s">
        <v>135</v>
      </c>
      <c r="E479" s="53"/>
      <c r="F479" s="53"/>
      <c r="G479" s="53" t="s">
        <v>211</v>
      </c>
      <c r="H479" s="53" t="s">
        <v>557</v>
      </c>
      <c r="I479" s="85" t="s">
        <v>558</v>
      </c>
      <c r="J479" s="85" t="s">
        <v>912</v>
      </c>
      <c r="K479" s="85" t="s">
        <v>913</v>
      </c>
      <c r="L479" s="53" t="s">
        <v>216</v>
      </c>
      <c r="M479" s="53" t="s">
        <v>295</v>
      </c>
      <c r="N479" s="53"/>
      <c r="O479" s="85" t="s">
        <v>905</v>
      </c>
      <c r="P479" s="53">
        <v>1</v>
      </c>
      <c r="Q479" s="183">
        <v>0.25</v>
      </c>
      <c r="R479" s="84">
        <v>0.8</v>
      </c>
      <c r="S479" s="53"/>
      <c r="T479" s="53"/>
      <c r="U479" s="53">
        <v>3</v>
      </c>
      <c r="V479" s="53">
        <v>480</v>
      </c>
      <c r="W479" s="53"/>
      <c r="X479" s="53"/>
      <c r="Y479" s="53"/>
      <c r="Z479" s="53"/>
      <c r="AA479" s="53"/>
      <c r="AB479" s="53"/>
      <c r="AC479" s="137" t="s">
        <v>110</v>
      </c>
      <c r="AD479" s="138" t="s">
        <v>118</v>
      </c>
      <c r="AE479" s="83">
        <v>8760</v>
      </c>
      <c r="AF479" s="139">
        <v>1</v>
      </c>
      <c r="AG479" s="179">
        <v>1</v>
      </c>
      <c r="AH479" s="139">
        <v>1</v>
      </c>
      <c r="AI479" s="139">
        <v>1</v>
      </c>
      <c r="AJ479" s="83">
        <f t="shared" si="81"/>
        <v>3504</v>
      </c>
      <c r="AK479" s="83">
        <f t="shared" si="82"/>
        <v>5256</v>
      </c>
      <c r="AL479" s="104">
        <f t="shared" si="83"/>
        <v>0.233125</v>
      </c>
      <c r="AM479" s="104">
        <f t="shared" si="84"/>
        <v>0.233125</v>
      </c>
      <c r="AN479" s="83">
        <f t="shared" si="85"/>
        <v>816.87</v>
      </c>
      <c r="AO479" s="83">
        <f t="shared" si="86"/>
        <v>1225.3050000000001</v>
      </c>
      <c r="AP479" s="83">
        <f t="shared" si="87"/>
        <v>2.7872748018000002</v>
      </c>
      <c r="AQ479" s="83">
        <f t="shared" si="88"/>
        <v>4.1809122027000001</v>
      </c>
      <c r="AR479" s="85"/>
      <c r="AS479" s="85"/>
      <c r="AT479" s="53"/>
      <c r="AU479" s="53"/>
      <c r="AV479" s="53"/>
      <c r="AW479" s="53"/>
      <c r="AX479" s="53"/>
      <c r="AY479" s="53"/>
      <c r="AZ479" s="53"/>
      <c r="BA479" s="53"/>
      <c r="BB479" s="53"/>
      <c r="BC479" s="111">
        <f t="shared" si="89"/>
        <v>816.87</v>
      </c>
      <c r="BD479" s="111">
        <f t="shared" si="90"/>
        <v>1225.3050000000001</v>
      </c>
    </row>
    <row r="480" spans="1:56" ht="21" customHeight="1" x14ac:dyDescent="0.25">
      <c r="A480" s="53">
        <v>470</v>
      </c>
      <c r="B480" s="53"/>
      <c r="C480" s="53"/>
      <c r="D480" s="53" t="s">
        <v>135</v>
      </c>
      <c r="E480" s="53"/>
      <c r="F480" s="53"/>
      <c r="G480" s="53" t="s">
        <v>211</v>
      </c>
      <c r="H480" s="53" t="s">
        <v>557</v>
      </c>
      <c r="I480" s="85" t="s">
        <v>558</v>
      </c>
      <c r="J480" s="85" t="s">
        <v>783</v>
      </c>
      <c r="K480" s="85" t="s">
        <v>784</v>
      </c>
      <c r="L480" s="53" t="s">
        <v>216</v>
      </c>
      <c r="M480" s="53" t="s">
        <v>295</v>
      </c>
      <c r="N480" s="53"/>
      <c r="O480" s="85" t="s">
        <v>770</v>
      </c>
      <c r="P480" s="53">
        <v>1</v>
      </c>
      <c r="Q480" s="183">
        <v>1</v>
      </c>
      <c r="R480" s="84">
        <v>0.82499999999999996</v>
      </c>
      <c r="S480" s="53"/>
      <c r="T480" s="53"/>
      <c r="U480" s="53">
        <v>3</v>
      </c>
      <c r="V480" s="53">
        <v>480</v>
      </c>
      <c r="W480" s="53"/>
      <c r="X480" s="53"/>
      <c r="Y480" s="53"/>
      <c r="Z480" s="53"/>
      <c r="AA480" s="53"/>
      <c r="AB480" s="53"/>
      <c r="AC480" s="137" t="s">
        <v>110</v>
      </c>
      <c r="AD480" s="138" t="s">
        <v>118</v>
      </c>
      <c r="AE480" s="83">
        <v>8760</v>
      </c>
      <c r="AF480" s="139">
        <v>1</v>
      </c>
      <c r="AG480" s="179">
        <v>1</v>
      </c>
      <c r="AH480" s="139">
        <v>1</v>
      </c>
      <c r="AI480" s="139">
        <v>1</v>
      </c>
      <c r="AJ480" s="83">
        <f t="shared" si="81"/>
        <v>3504</v>
      </c>
      <c r="AK480" s="83">
        <f t="shared" si="82"/>
        <v>5256</v>
      </c>
      <c r="AL480" s="104">
        <f t="shared" si="83"/>
        <v>0.90424242424242429</v>
      </c>
      <c r="AM480" s="104">
        <f t="shared" si="84"/>
        <v>0.90424242424242429</v>
      </c>
      <c r="AN480" s="83">
        <f t="shared" si="85"/>
        <v>3168.4654545454546</v>
      </c>
      <c r="AO480" s="83">
        <f t="shared" si="86"/>
        <v>4752.6981818181821</v>
      </c>
      <c r="AP480" s="182">
        <f t="shared" si="87"/>
        <v>10.811247716072726</v>
      </c>
      <c r="AQ480" s="182">
        <f t="shared" si="88"/>
        <v>16.216871574109092</v>
      </c>
      <c r="AR480" s="85"/>
      <c r="AS480" s="85"/>
      <c r="AT480" s="53"/>
      <c r="AU480" s="53"/>
      <c r="AV480" s="53"/>
      <c r="AW480" s="53"/>
      <c r="AX480" s="53"/>
      <c r="AY480" s="53"/>
      <c r="AZ480" s="53"/>
      <c r="BA480" s="53"/>
      <c r="BB480" s="53"/>
      <c r="BC480" s="111">
        <f t="shared" si="89"/>
        <v>3168.4654545454546</v>
      </c>
      <c r="BD480" s="111">
        <f t="shared" si="90"/>
        <v>4752.6981818181821</v>
      </c>
    </row>
    <row r="481" spans="1:56" ht="21" customHeight="1" x14ac:dyDescent="0.25">
      <c r="A481" s="53">
        <v>471</v>
      </c>
      <c r="B481" s="53"/>
      <c r="C481" s="53"/>
      <c r="D481" s="53" t="s">
        <v>135</v>
      </c>
      <c r="E481" s="53"/>
      <c r="F481" s="53"/>
      <c r="G481" s="53" t="s">
        <v>211</v>
      </c>
      <c r="H481" s="53" t="s">
        <v>557</v>
      </c>
      <c r="I481" s="85" t="s">
        <v>558</v>
      </c>
      <c r="J481" s="85" t="s">
        <v>914</v>
      </c>
      <c r="K481" s="85" t="s">
        <v>915</v>
      </c>
      <c r="L481" s="53" t="s">
        <v>216</v>
      </c>
      <c r="M481" s="53" t="s">
        <v>295</v>
      </c>
      <c r="N481" s="53"/>
      <c r="O481" s="85" t="s">
        <v>916</v>
      </c>
      <c r="P481" s="53">
        <v>1</v>
      </c>
      <c r="Q481" s="183">
        <v>0.25</v>
      </c>
      <c r="R481" s="84">
        <v>0.8</v>
      </c>
      <c r="S481" s="53"/>
      <c r="T481" s="53"/>
      <c r="U481" s="53">
        <v>3</v>
      </c>
      <c r="V481" s="53">
        <v>480</v>
      </c>
      <c r="W481" s="53"/>
      <c r="X481" s="53"/>
      <c r="Y481" s="53"/>
      <c r="Z481" s="53"/>
      <c r="AA481" s="53"/>
      <c r="AB481" s="53"/>
      <c r="AC481" s="137" t="s">
        <v>110</v>
      </c>
      <c r="AD481" s="138" t="s">
        <v>118</v>
      </c>
      <c r="AE481" s="83">
        <v>8760</v>
      </c>
      <c r="AF481" s="139">
        <v>1</v>
      </c>
      <c r="AG481" s="179">
        <v>1</v>
      </c>
      <c r="AH481" s="139">
        <v>1</v>
      </c>
      <c r="AI481" s="139">
        <v>1</v>
      </c>
      <c r="AJ481" s="83">
        <f t="shared" si="81"/>
        <v>3504</v>
      </c>
      <c r="AK481" s="83">
        <f t="shared" si="82"/>
        <v>5256</v>
      </c>
      <c r="AL481" s="104">
        <f t="shared" si="83"/>
        <v>0.233125</v>
      </c>
      <c r="AM481" s="104">
        <f t="shared" si="84"/>
        <v>0.233125</v>
      </c>
      <c r="AN481" s="83">
        <f t="shared" si="85"/>
        <v>816.87</v>
      </c>
      <c r="AO481" s="83">
        <f t="shared" si="86"/>
        <v>1225.3050000000001</v>
      </c>
      <c r="AP481" s="83">
        <f t="shared" si="87"/>
        <v>2.7872748018000002</v>
      </c>
      <c r="AQ481" s="83">
        <f t="shared" si="88"/>
        <v>4.1809122027000001</v>
      </c>
      <c r="AR481" s="85"/>
      <c r="AS481" s="85"/>
      <c r="AT481" s="53"/>
      <c r="AU481" s="53"/>
      <c r="AV481" s="53"/>
      <c r="AW481" s="53"/>
      <c r="AX481" s="53"/>
      <c r="AY481" s="53"/>
      <c r="AZ481" s="53"/>
      <c r="BA481" s="53"/>
      <c r="BB481" s="53"/>
      <c r="BC481" s="111">
        <f t="shared" si="89"/>
        <v>816.87</v>
      </c>
      <c r="BD481" s="111">
        <f t="shared" si="90"/>
        <v>1225.3050000000001</v>
      </c>
    </row>
    <row r="482" spans="1:56" ht="21" customHeight="1" x14ac:dyDescent="0.25">
      <c r="A482" s="53">
        <v>472</v>
      </c>
      <c r="B482" s="53"/>
      <c r="C482" s="53"/>
      <c r="D482" s="53" t="s">
        <v>135</v>
      </c>
      <c r="E482" s="53"/>
      <c r="F482" s="53"/>
      <c r="G482" s="53" t="s">
        <v>211</v>
      </c>
      <c r="H482" s="53" t="s">
        <v>557</v>
      </c>
      <c r="I482" s="85" t="s">
        <v>558</v>
      </c>
      <c r="J482" s="85" t="s">
        <v>914</v>
      </c>
      <c r="K482" s="85" t="s">
        <v>917</v>
      </c>
      <c r="L482" s="53" t="s">
        <v>216</v>
      </c>
      <c r="M482" s="53" t="s">
        <v>295</v>
      </c>
      <c r="N482" s="53"/>
      <c r="O482" s="85" t="s">
        <v>897</v>
      </c>
      <c r="P482" s="53">
        <v>1</v>
      </c>
      <c r="Q482" s="183">
        <v>0.25</v>
      </c>
      <c r="R482" s="84">
        <v>0.8</v>
      </c>
      <c r="S482" s="53"/>
      <c r="T482" s="53"/>
      <c r="U482" s="53">
        <v>3</v>
      </c>
      <c r="V482" s="53">
        <v>480</v>
      </c>
      <c r="W482" s="53"/>
      <c r="X482" s="53"/>
      <c r="Y482" s="53"/>
      <c r="Z482" s="53"/>
      <c r="AA482" s="53"/>
      <c r="AB482" s="53"/>
      <c r="AC482" s="137" t="s">
        <v>110</v>
      </c>
      <c r="AD482" s="138" t="s">
        <v>118</v>
      </c>
      <c r="AE482" s="83">
        <v>8760</v>
      </c>
      <c r="AF482" s="139">
        <v>1</v>
      </c>
      <c r="AG482" s="179">
        <v>1</v>
      </c>
      <c r="AH482" s="139">
        <v>1</v>
      </c>
      <c r="AI482" s="139">
        <v>1</v>
      </c>
      <c r="AJ482" s="83">
        <f t="shared" si="81"/>
        <v>3504</v>
      </c>
      <c r="AK482" s="83">
        <f t="shared" si="82"/>
        <v>5256</v>
      </c>
      <c r="AL482" s="104">
        <f t="shared" si="83"/>
        <v>0.233125</v>
      </c>
      <c r="AM482" s="104">
        <f t="shared" si="84"/>
        <v>0.233125</v>
      </c>
      <c r="AN482" s="83">
        <f t="shared" si="85"/>
        <v>816.87</v>
      </c>
      <c r="AO482" s="83">
        <f t="shared" si="86"/>
        <v>1225.3050000000001</v>
      </c>
      <c r="AP482" s="182">
        <f t="shared" si="87"/>
        <v>2.7872748018000002</v>
      </c>
      <c r="AQ482" s="182">
        <f t="shared" si="88"/>
        <v>4.1809122027000001</v>
      </c>
      <c r="AR482" s="85"/>
      <c r="AS482" s="85"/>
      <c r="AT482" s="53"/>
      <c r="AU482" s="53"/>
      <c r="AV482" s="53"/>
      <c r="AW482" s="53"/>
      <c r="AX482" s="53"/>
      <c r="AY482" s="53"/>
      <c r="AZ482" s="53"/>
      <c r="BA482" s="53"/>
      <c r="BB482" s="53"/>
      <c r="BC482" s="111">
        <f t="shared" si="89"/>
        <v>816.87</v>
      </c>
      <c r="BD482" s="111">
        <f t="shared" si="90"/>
        <v>1225.3050000000001</v>
      </c>
    </row>
    <row r="483" spans="1:56" ht="21" customHeight="1" x14ac:dyDescent="0.25">
      <c r="A483" s="53">
        <v>473</v>
      </c>
      <c r="B483" s="53"/>
      <c r="C483" s="53"/>
      <c r="D483" s="53" t="s">
        <v>135</v>
      </c>
      <c r="E483" s="53"/>
      <c r="F483" s="53"/>
      <c r="G483" s="53" t="s">
        <v>211</v>
      </c>
      <c r="H483" s="53" t="s">
        <v>557</v>
      </c>
      <c r="I483" s="85" t="s">
        <v>558</v>
      </c>
      <c r="J483" s="85" t="s">
        <v>918</v>
      </c>
      <c r="K483" s="85" t="s">
        <v>919</v>
      </c>
      <c r="L483" s="53" t="s">
        <v>216</v>
      </c>
      <c r="M483" s="53" t="s">
        <v>295</v>
      </c>
      <c r="N483" s="53"/>
      <c r="O483" s="85" t="s">
        <v>908</v>
      </c>
      <c r="P483" s="53">
        <v>1</v>
      </c>
      <c r="Q483" s="183">
        <v>0.25</v>
      </c>
      <c r="R483" s="84">
        <v>0.8</v>
      </c>
      <c r="S483" s="53"/>
      <c r="T483" s="53"/>
      <c r="U483" s="53">
        <v>3</v>
      </c>
      <c r="V483" s="53">
        <v>480</v>
      </c>
      <c r="W483" s="53"/>
      <c r="X483" s="53"/>
      <c r="Y483" s="53"/>
      <c r="Z483" s="53"/>
      <c r="AA483" s="53"/>
      <c r="AB483" s="53"/>
      <c r="AC483" s="137" t="s">
        <v>110</v>
      </c>
      <c r="AD483" s="138" t="s">
        <v>118</v>
      </c>
      <c r="AE483" s="83">
        <v>8760</v>
      </c>
      <c r="AF483" s="139">
        <v>1</v>
      </c>
      <c r="AG483" s="179">
        <v>1</v>
      </c>
      <c r="AH483" s="139">
        <v>1</v>
      </c>
      <c r="AI483" s="139">
        <v>1</v>
      </c>
      <c r="AJ483" s="83">
        <f t="shared" si="81"/>
        <v>3504</v>
      </c>
      <c r="AK483" s="83">
        <f t="shared" si="82"/>
        <v>5256</v>
      </c>
      <c r="AL483" s="104">
        <f t="shared" si="83"/>
        <v>0.233125</v>
      </c>
      <c r="AM483" s="104">
        <f t="shared" si="84"/>
        <v>0.233125</v>
      </c>
      <c r="AN483" s="83">
        <f t="shared" si="85"/>
        <v>816.87</v>
      </c>
      <c r="AO483" s="83">
        <f t="shared" si="86"/>
        <v>1225.3050000000001</v>
      </c>
      <c r="AP483" s="83">
        <f t="shared" si="87"/>
        <v>2.7872748018000002</v>
      </c>
      <c r="AQ483" s="83">
        <f t="shared" si="88"/>
        <v>4.1809122027000001</v>
      </c>
      <c r="AR483" s="85"/>
      <c r="AS483" s="85"/>
      <c r="AT483" s="53"/>
      <c r="AU483" s="53"/>
      <c r="AV483" s="53"/>
      <c r="AW483" s="53"/>
      <c r="AX483" s="53"/>
      <c r="AY483" s="53"/>
      <c r="AZ483" s="53"/>
      <c r="BA483" s="53"/>
      <c r="BB483" s="53"/>
      <c r="BC483" s="111">
        <f t="shared" si="89"/>
        <v>816.87</v>
      </c>
      <c r="BD483" s="111">
        <f t="shared" si="90"/>
        <v>1225.3050000000001</v>
      </c>
    </row>
    <row r="484" spans="1:56" ht="21" customHeight="1" x14ac:dyDescent="0.25">
      <c r="A484" s="53">
        <v>474</v>
      </c>
      <c r="B484" s="53"/>
      <c r="C484" s="53"/>
      <c r="D484" s="53" t="s">
        <v>135</v>
      </c>
      <c r="E484" s="53"/>
      <c r="F484" s="53"/>
      <c r="G484" s="53" t="s">
        <v>211</v>
      </c>
      <c r="H484" s="53" t="s">
        <v>557</v>
      </c>
      <c r="I484" s="85" t="s">
        <v>558</v>
      </c>
      <c r="J484" s="85" t="s">
        <v>473</v>
      </c>
      <c r="K484" s="85" t="s">
        <v>920</v>
      </c>
      <c r="L484" s="53" t="s">
        <v>216</v>
      </c>
      <c r="M484" s="53" t="s">
        <v>295</v>
      </c>
      <c r="N484" s="53"/>
      <c r="O484" s="85" t="s">
        <v>908</v>
      </c>
      <c r="P484" s="53">
        <v>1</v>
      </c>
      <c r="Q484" s="183">
        <v>0.25</v>
      </c>
      <c r="R484" s="84">
        <v>0.8</v>
      </c>
      <c r="S484" s="53"/>
      <c r="T484" s="53"/>
      <c r="U484" s="53">
        <v>3</v>
      </c>
      <c r="V484" s="53">
        <v>480</v>
      </c>
      <c r="W484" s="53"/>
      <c r="X484" s="53"/>
      <c r="Y484" s="53"/>
      <c r="Z484" s="53"/>
      <c r="AA484" s="53"/>
      <c r="AB484" s="53"/>
      <c r="AC484" s="137" t="s">
        <v>110</v>
      </c>
      <c r="AD484" s="138" t="s">
        <v>118</v>
      </c>
      <c r="AE484" s="83">
        <v>8760</v>
      </c>
      <c r="AF484" s="139">
        <v>1</v>
      </c>
      <c r="AG484" s="179">
        <v>1</v>
      </c>
      <c r="AH484" s="139">
        <v>1</v>
      </c>
      <c r="AI484" s="139">
        <v>1</v>
      </c>
      <c r="AJ484" s="83">
        <f t="shared" si="81"/>
        <v>3504</v>
      </c>
      <c r="AK484" s="83">
        <f t="shared" si="82"/>
        <v>5256</v>
      </c>
      <c r="AL484" s="104">
        <f t="shared" si="83"/>
        <v>0.233125</v>
      </c>
      <c r="AM484" s="104">
        <f t="shared" si="84"/>
        <v>0.233125</v>
      </c>
      <c r="AN484" s="83">
        <f t="shared" si="85"/>
        <v>816.87</v>
      </c>
      <c r="AO484" s="83">
        <f t="shared" si="86"/>
        <v>1225.3050000000001</v>
      </c>
      <c r="AP484" s="182">
        <f t="shared" si="87"/>
        <v>2.7872748018000002</v>
      </c>
      <c r="AQ484" s="182">
        <f t="shared" si="88"/>
        <v>4.1809122027000001</v>
      </c>
      <c r="AR484" s="85"/>
      <c r="AS484" s="85"/>
      <c r="AT484" s="53"/>
      <c r="AU484" s="53"/>
      <c r="AV484" s="53"/>
      <c r="AW484" s="53"/>
      <c r="AX484" s="53"/>
      <c r="AY484" s="53"/>
      <c r="AZ484" s="53"/>
      <c r="BA484" s="53"/>
      <c r="BB484" s="53"/>
      <c r="BC484" s="111">
        <f t="shared" si="89"/>
        <v>816.87</v>
      </c>
      <c r="BD484" s="111">
        <f t="shared" si="90"/>
        <v>1225.3050000000001</v>
      </c>
    </row>
    <row r="485" spans="1:56" ht="21" customHeight="1" x14ac:dyDescent="0.25">
      <c r="A485" s="53">
        <v>475</v>
      </c>
      <c r="B485" s="53"/>
      <c r="C485" s="53"/>
      <c r="D485" s="53" t="s">
        <v>135</v>
      </c>
      <c r="E485" s="53"/>
      <c r="F485" s="53"/>
      <c r="G485" s="53" t="s">
        <v>211</v>
      </c>
      <c r="H485" s="53" t="s">
        <v>557</v>
      </c>
      <c r="I485" s="85" t="s">
        <v>558</v>
      </c>
      <c r="J485" s="85" t="s">
        <v>702</v>
      </c>
      <c r="K485" s="85" t="s">
        <v>785</v>
      </c>
      <c r="L485" s="53" t="s">
        <v>216</v>
      </c>
      <c r="M485" s="53" t="s">
        <v>295</v>
      </c>
      <c r="N485" s="53"/>
      <c r="O485" s="85" t="s">
        <v>786</v>
      </c>
      <c r="P485" s="53">
        <v>1</v>
      </c>
      <c r="Q485" s="183">
        <v>1</v>
      </c>
      <c r="R485" s="84">
        <v>0.82499999999999996</v>
      </c>
      <c r="S485" s="53"/>
      <c r="T485" s="53"/>
      <c r="U485" s="53">
        <v>3</v>
      </c>
      <c r="V485" s="53">
        <v>480</v>
      </c>
      <c r="W485" s="53"/>
      <c r="X485" s="53"/>
      <c r="Y485" s="53"/>
      <c r="Z485" s="53"/>
      <c r="AA485" s="53"/>
      <c r="AB485" s="53"/>
      <c r="AC485" s="137" t="s">
        <v>110</v>
      </c>
      <c r="AD485" s="138" t="s">
        <v>118</v>
      </c>
      <c r="AE485" s="83">
        <v>8760</v>
      </c>
      <c r="AF485" s="139">
        <v>1</v>
      </c>
      <c r="AG485" s="179">
        <v>1</v>
      </c>
      <c r="AH485" s="139">
        <v>1</v>
      </c>
      <c r="AI485" s="139">
        <v>1</v>
      </c>
      <c r="AJ485" s="83">
        <f t="shared" si="81"/>
        <v>3504</v>
      </c>
      <c r="AK485" s="83">
        <f t="shared" si="82"/>
        <v>5256</v>
      </c>
      <c r="AL485" s="104">
        <f t="shared" si="83"/>
        <v>0.90424242424242429</v>
      </c>
      <c r="AM485" s="104">
        <f t="shared" si="84"/>
        <v>0.90424242424242429</v>
      </c>
      <c r="AN485" s="83">
        <f t="shared" si="85"/>
        <v>3168.4654545454546</v>
      </c>
      <c r="AO485" s="83">
        <f t="shared" si="86"/>
        <v>4752.6981818181821</v>
      </c>
      <c r="AP485" s="83">
        <f t="shared" si="87"/>
        <v>10.811247716072726</v>
      </c>
      <c r="AQ485" s="83">
        <f t="shared" si="88"/>
        <v>16.216871574109092</v>
      </c>
      <c r="AR485" s="85"/>
      <c r="AS485" s="85"/>
      <c r="AT485" s="53"/>
      <c r="AU485" s="53"/>
      <c r="AV485" s="53"/>
      <c r="AW485" s="53"/>
      <c r="AX485" s="53"/>
      <c r="AY485" s="53"/>
      <c r="AZ485" s="53"/>
      <c r="BA485" s="53"/>
      <c r="BB485" s="53"/>
      <c r="BC485" s="111">
        <f t="shared" si="89"/>
        <v>3168.4654545454546</v>
      </c>
      <c r="BD485" s="111">
        <f t="shared" si="90"/>
        <v>4752.6981818181821</v>
      </c>
    </row>
    <row r="486" spans="1:56" ht="21" customHeight="1" x14ac:dyDescent="0.25">
      <c r="A486" s="53">
        <v>476</v>
      </c>
      <c r="B486" s="53"/>
      <c r="C486" s="53"/>
      <c r="D486" s="53" t="s">
        <v>135</v>
      </c>
      <c r="E486" s="53"/>
      <c r="F486" s="53"/>
      <c r="G486" s="53" t="s">
        <v>211</v>
      </c>
      <c r="H486" s="53" t="s">
        <v>557</v>
      </c>
      <c r="I486" s="85" t="s">
        <v>558</v>
      </c>
      <c r="J486" s="85" t="s">
        <v>702</v>
      </c>
      <c r="K486" s="85" t="s">
        <v>703</v>
      </c>
      <c r="L486" s="53" t="s">
        <v>216</v>
      </c>
      <c r="M486" s="53" t="s">
        <v>295</v>
      </c>
      <c r="N486" s="53"/>
      <c r="O486" s="85" t="s">
        <v>704</v>
      </c>
      <c r="P486" s="53">
        <v>1</v>
      </c>
      <c r="Q486" s="183">
        <v>2</v>
      </c>
      <c r="R486" s="84">
        <v>0.84</v>
      </c>
      <c r="S486" s="53"/>
      <c r="T486" s="53"/>
      <c r="U486" s="53">
        <v>3</v>
      </c>
      <c r="V486" s="53">
        <v>480</v>
      </c>
      <c r="W486" s="53"/>
      <c r="X486" s="53"/>
      <c r="Y486" s="53"/>
      <c r="Z486" s="53"/>
      <c r="AA486" s="53"/>
      <c r="AB486" s="53"/>
      <c r="AC486" s="137" t="s">
        <v>110</v>
      </c>
      <c r="AD486" s="138" t="s">
        <v>118</v>
      </c>
      <c r="AE486" s="83">
        <v>8760</v>
      </c>
      <c r="AF486" s="139">
        <v>1</v>
      </c>
      <c r="AG486" s="179">
        <v>1</v>
      </c>
      <c r="AH486" s="139">
        <v>1</v>
      </c>
      <c r="AI486" s="139">
        <v>1</v>
      </c>
      <c r="AJ486" s="83">
        <f t="shared" si="81"/>
        <v>3504</v>
      </c>
      <c r="AK486" s="83">
        <f t="shared" si="82"/>
        <v>5256</v>
      </c>
      <c r="AL486" s="104">
        <f t="shared" si="83"/>
        <v>1.7761904761904763</v>
      </c>
      <c r="AM486" s="104">
        <f t="shared" si="84"/>
        <v>1.7761904761904763</v>
      </c>
      <c r="AN486" s="83">
        <f t="shared" si="85"/>
        <v>6223.7714285714292</v>
      </c>
      <c r="AO486" s="83">
        <f t="shared" si="86"/>
        <v>9335.6571428571442</v>
      </c>
      <c r="AP486" s="182">
        <f t="shared" si="87"/>
        <v>21.236379442285717</v>
      </c>
      <c r="AQ486" s="182">
        <f t="shared" si="88"/>
        <v>31.854569163428575</v>
      </c>
      <c r="AR486" s="85"/>
      <c r="AS486" s="85"/>
      <c r="AT486" s="53"/>
      <c r="AU486" s="53"/>
      <c r="AV486" s="53"/>
      <c r="AW486" s="53"/>
      <c r="AX486" s="53"/>
      <c r="AY486" s="53"/>
      <c r="AZ486" s="53"/>
      <c r="BA486" s="53"/>
      <c r="BB486" s="53"/>
      <c r="BC486" s="111">
        <f t="shared" si="89"/>
        <v>6223.7714285714292</v>
      </c>
      <c r="BD486" s="111">
        <f t="shared" si="90"/>
        <v>9335.6571428571442</v>
      </c>
    </row>
    <row r="487" spans="1:56" ht="21" customHeight="1" x14ac:dyDescent="0.25">
      <c r="A487" s="53">
        <v>477</v>
      </c>
      <c r="B487" s="53"/>
      <c r="C487" s="53"/>
      <c r="D487" s="53" t="s">
        <v>135</v>
      </c>
      <c r="E487" s="53"/>
      <c r="F487" s="53"/>
      <c r="G487" s="53" t="s">
        <v>211</v>
      </c>
      <c r="H487" s="53" t="s">
        <v>557</v>
      </c>
      <c r="I487" s="85" t="s">
        <v>558</v>
      </c>
      <c r="J487" s="85" t="s">
        <v>702</v>
      </c>
      <c r="K487" s="85" t="s">
        <v>867</v>
      </c>
      <c r="L487" s="53" t="s">
        <v>216</v>
      </c>
      <c r="M487" s="53" t="s">
        <v>295</v>
      </c>
      <c r="N487" s="53"/>
      <c r="O487" s="85" t="s">
        <v>845</v>
      </c>
      <c r="P487" s="53">
        <v>1</v>
      </c>
      <c r="Q487" s="183">
        <v>0.5</v>
      </c>
      <c r="R487" s="84">
        <v>0.8</v>
      </c>
      <c r="S487" s="53"/>
      <c r="T487" s="53"/>
      <c r="U487" s="53">
        <v>3</v>
      </c>
      <c r="V487" s="53">
        <v>480</v>
      </c>
      <c r="W487" s="53"/>
      <c r="X487" s="53"/>
      <c r="Y487" s="53"/>
      <c r="Z487" s="53"/>
      <c r="AA487" s="53"/>
      <c r="AB487" s="53"/>
      <c r="AC487" s="137" t="s">
        <v>110</v>
      </c>
      <c r="AD487" s="138" t="s">
        <v>118</v>
      </c>
      <c r="AE487" s="83">
        <v>8760</v>
      </c>
      <c r="AF487" s="139">
        <v>1</v>
      </c>
      <c r="AG487" s="179">
        <v>1</v>
      </c>
      <c r="AH487" s="139">
        <v>1</v>
      </c>
      <c r="AI487" s="139">
        <v>1</v>
      </c>
      <c r="AJ487" s="83">
        <f t="shared" si="81"/>
        <v>3504</v>
      </c>
      <c r="AK487" s="83">
        <f t="shared" si="82"/>
        <v>5256</v>
      </c>
      <c r="AL487" s="104">
        <f t="shared" si="83"/>
        <v>0.46625</v>
      </c>
      <c r="AM487" s="104">
        <f t="shared" si="84"/>
        <v>0.46625</v>
      </c>
      <c r="AN487" s="83">
        <f t="shared" si="85"/>
        <v>1633.74</v>
      </c>
      <c r="AO487" s="83">
        <f t="shared" si="86"/>
        <v>2450.61</v>
      </c>
      <c r="AP487" s="83">
        <f t="shared" si="87"/>
        <v>5.5745496036000004</v>
      </c>
      <c r="AQ487" s="83">
        <f t="shared" si="88"/>
        <v>8.3618244054000002</v>
      </c>
      <c r="AR487" s="85"/>
      <c r="AS487" s="85"/>
      <c r="AT487" s="53"/>
      <c r="AU487" s="53"/>
      <c r="AV487" s="53"/>
      <c r="AW487" s="53"/>
      <c r="AX487" s="53"/>
      <c r="AY487" s="53"/>
      <c r="AZ487" s="53"/>
      <c r="BA487" s="53"/>
      <c r="BB487" s="53"/>
      <c r="BC487" s="111">
        <f t="shared" si="89"/>
        <v>1633.74</v>
      </c>
      <c r="BD487" s="111">
        <f t="shared" si="90"/>
        <v>2450.61</v>
      </c>
    </row>
    <row r="488" spans="1:56" ht="21" customHeight="1" x14ac:dyDescent="0.25">
      <c r="A488" s="53">
        <v>478</v>
      </c>
      <c r="B488" s="53"/>
      <c r="C488" s="53"/>
      <c r="D488" s="53" t="s">
        <v>135</v>
      </c>
      <c r="E488" s="53"/>
      <c r="F488" s="53"/>
      <c r="G488" s="53" t="s">
        <v>211</v>
      </c>
      <c r="H488" s="53" t="s">
        <v>557</v>
      </c>
      <c r="I488" s="85" t="s">
        <v>558</v>
      </c>
      <c r="J488" s="85" t="s">
        <v>702</v>
      </c>
      <c r="K488" s="85" t="s">
        <v>844</v>
      </c>
      <c r="L488" s="53" t="s">
        <v>216</v>
      </c>
      <c r="M488" s="53" t="s">
        <v>295</v>
      </c>
      <c r="N488" s="53"/>
      <c r="O488" s="85" t="s">
        <v>845</v>
      </c>
      <c r="P488" s="53">
        <v>1</v>
      </c>
      <c r="Q488" s="183">
        <v>0.75</v>
      </c>
      <c r="R488" s="84">
        <v>0.8</v>
      </c>
      <c r="S488" s="53"/>
      <c r="T488" s="53"/>
      <c r="U488" s="53">
        <v>3</v>
      </c>
      <c r="V488" s="53">
        <v>480</v>
      </c>
      <c r="W488" s="53"/>
      <c r="X488" s="53"/>
      <c r="Y488" s="53"/>
      <c r="Z488" s="53"/>
      <c r="AA488" s="53"/>
      <c r="AB488" s="53"/>
      <c r="AC488" s="137" t="s">
        <v>110</v>
      </c>
      <c r="AD488" s="138" t="s">
        <v>118</v>
      </c>
      <c r="AE488" s="83">
        <v>8760</v>
      </c>
      <c r="AF488" s="139">
        <v>1</v>
      </c>
      <c r="AG488" s="179">
        <v>1</v>
      </c>
      <c r="AH488" s="139">
        <v>1</v>
      </c>
      <c r="AI488" s="139">
        <v>1</v>
      </c>
      <c r="AJ488" s="83">
        <f t="shared" si="81"/>
        <v>3504</v>
      </c>
      <c r="AK488" s="83">
        <f t="shared" si="82"/>
        <v>5256</v>
      </c>
      <c r="AL488" s="104">
        <f t="shared" si="83"/>
        <v>0.69937499999999997</v>
      </c>
      <c r="AM488" s="104">
        <f t="shared" si="84"/>
        <v>0.69937499999999997</v>
      </c>
      <c r="AN488" s="83">
        <f t="shared" si="85"/>
        <v>2450.6099999999997</v>
      </c>
      <c r="AO488" s="83">
        <f t="shared" si="86"/>
        <v>3675.915</v>
      </c>
      <c r="AP488" s="182">
        <f t="shared" si="87"/>
        <v>8.3618244053999984</v>
      </c>
      <c r="AQ488" s="182">
        <f t="shared" si="88"/>
        <v>12.542736608099998</v>
      </c>
      <c r="AR488" s="85"/>
      <c r="AS488" s="85"/>
      <c r="AT488" s="53"/>
      <c r="AU488" s="53"/>
      <c r="AV488" s="53"/>
      <c r="AW488" s="53"/>
      <c r="AX488" s="53"/>
      <c r="AY488" s="53"/>
      <c r="AZ488" s="53"/>
      <c r="BA488" s="53"/>
      <c r="BB488" s="53"/>
      <c r="BC488" s="111">
        <f t="shared" si="89"/>
        <v>2450.6099999999997</v>
      </c>
      <c r="BD488" s="111">
        <f t="shared" si="90"/>
        <v>3675.915</v>
      </c>
    </row>
    <row r="489" spans="1:56" ht="21" customHeight="1" x14ac:dyDescent="0.25">
      <c r="A489" s="53">
        <v>479</v>
      </c>
      <c r="B489" s="53"/>
      <c r="C489" s="53"/>
      <c r="D489" s="53" t="s">
        <v>135</v>
      </c>
      <c r="E489" s="53"/>
      <c r="F489" s="298"/>
      <c r="G489" s="298" t="s">
        <v>211</v>
      </c>
      <c r="H489" s="298" t="s">
        <v>335</v>
      </c>
      <c r="I489" s="299" t="s">
        <v>336</v>
      </c>
      <c r="J489" s="299" t="s">
        <v>337</v>
      </c>
      <c r="K489" s="299" t="s">
        <v>371</v>
      </c>
      <c r="L489" s="298" t="s">
        <v>216</v>
      </c>
      <c r="M489" s="298" t="s">
        <v>295</v>
      </c>
      <c r="N489" s="298"/>
      <c r="O489" s="299" t="s">
        <v>372</v>
      </c>
      <c r="P489" s="298">
        <v>1</v>
      </c>
      <c r="Q489" s="298">
        <v>40</v>
      </c>
      <c r="R489" s="84">
        <v>0.94099999999999995</v>
      </c>
      <c r="S489" s="53"/>
      <c r="T489" s="53"/>
      <c r="U489" s="53">
        <v>3</v>
      </c>
      <c r="V489" s="53">
        <v>480</v>
      </c>
      <c r="W489" s="53"/>
      <c r="X489" s="53"/>
      <c r="Y489" s="53"/>
      <c r="Z489" s="53"/>
      <c r="AA489" s="53"/>
      <c r="AB489" s="53"/>
      <c r="AC489" s="137" t="s">
        <v>117</v>
      </c>
      <c r="AD489" s="138" t="s">
        <v>111</v>
      </c>
      <c r="AE489" s="83">
        <v>8760</v>
      </c>
      <c r="AF489" s="139">
        <v>1</v>
      </c>
      <c r="AG489" s="179">
        <v>0.4</v>
      </c>
      <c r="AH489" s="139">
        <v>1</v>
      </c>
      <c r="AI489" s="139">
        <v>1</v>
      </c>
      <c r="AJ489" s="83">
        <f t="shared" si="81"/>
        <v>1401.6000000000001</v>
      </c>
      <c r="AK489" s="83">
        <f t="shared" si="82"/>
        <v>2102.4</v>
      </c>
      <c r="AL489" s="104">
        <f t="shared" si="83"/>
        <v>31.710945802337939</v>
      </c>
      <c r="AM489" s="104">
        <f t="shared" si="84"/>
        <v>31.710945802337939</v>
      </c>
      <c r="AN489" s="83">
        <f t="shared" si="85"/>
        <v>44446.061636556857</v>
      </c>
      <c r="AO489" s="83">
        <f t="shared" si="86"/>
        <v>66669.092454835292</v>
      </c>
      <c r="AP489" s="182">
        <f t="shared" si="87"/>
        <v>151.65618475256113</v>
      </c>
      <c r="AQ489" s="182">
        <f t="shared" si="88"/>
        <v>227.48427712884171</v>
      </c>
      <c r="AR489" s="85"/>
      <c r="AS489" s="85">
        <v>1250</v>
      </c>
      <c r="AT489" s="53"/>
      <c r="AU489" s="53"/>
      <c r="AV489" s="53"/>
      <c r="AW489" s="53"/>
      <c r="AX489" s="53"/>
      <c r="AY489" s="53"/>
      <c r="AZ489" s="53"/>
      <c r="BA489" s="53"/>
      <c r="BB489" s="53"/>
      <c r="BC489" s="111">
        <f t="shared" si="89"/>
        <v>44446.061636556857</v>
      </c>
      <c r="BD489" s="111">
        <f t="shared" si="90"/>
        <v>66669.092454835292</v>
      </c>
    </row>
    <row r="490" spans="1:56" ht="21" customHeight="1" x14ac:dyDescent="0.25">
      <c r="A490" s="53">
        <v>480</v>
      </c>
      <c r="B490" s="53"/>
      <c r="C490" s="53"/>
      <c r="D490" s="53" t="s">
        <v>135</v>
      </c>
      <c r="E490" s="53"/>
      <c r="F490" s="298"/>
      <c r="G490" s="298" t="s">
        <v>211</v>
      </c>
      <c r="H490" s="298" t="s">
        <v>335</v>
      </c>
      <c r="I490" s="299" t="s">
        <v>336</v>
      </c>
      <c r="J490" s="299" t="s">
        <v>337</v>
      </c>
      <c r="K490" s="299" t="s">
        <v>373</v>
      </c>
      <c r="L490" s="298" t="s">
        <v>216</v>
      </c>
      <c r="M490" s="298" t="s">
        <v>295</v>
      </c>
      <c r="N490" s="298"/>
      <c r="O490" s="299" t="s">
        <v>372</v>
      </c>
      <c r="P490" s="298">
        <v>1</v>
      </c>
      <c r="Q490" s="298">
        <v>40</v>
      </c>
      <c r="R490" s="84">
        <v>0.94099999999999995</v>
      </c>
      <c r="S490" s="53"/>
      <c r="T490" s="53"/>
      <c r="U490" s="53">
        <v>3</v>
      </c>
      <c r="V490" s="53">
        <v>480</v>
      </c>
      <c r="W490" s="53"/>
      <c r="X490" s="53"/>
      <c r="Y490" s="53"/>
      <c r="Z490" s="53"/>
      <c r="AA490" s="53"/>
      <c r="AB490" s="53"/>
      <c r="AC490" s="137" t="s">
        <v>117</v>
      </c>
      <c r="AD490" s="138" t="s">
        <v>111</v>
      </c>
      <c r="AE490" s="83">
        <v>8760</v>
      </c>
      <c r="AF490" s="139">
        <v>1</v>
      </c>
      <c r="AG490" s="179">
        <v>0.4</v>
      </c>
      <c r="AH490" s="139">
        <v>1</v>
      </c>
      <c r="AI490" s="139">
        <v>1</v>
      </c>
      <c r="AJ490" s="83">
        <f t="shared" si="81"/>
        <v>1401.6000000000001</v>
      </c>
      <c r="AK490" s="83">
        <f t="shared" si="82"/>
        <v>2102.4</v>
      </c>
      <c r="AL490" s="104">
        <f t="shared" si="83"/>
        <v>31.710945802337939</v>
      </c>
      <c r="AM490" s="104">
        <f t="shared" si="84"/>
        <v>31.710945802337939</v>
      </c>
      <c r="AN490" s="83">
        <f t="shared" si="85"/>
        <v>44446.061636556857</v>
      </c>
      <c r="AO490" s="83">
        <f t="shared" si="86"/>
        <v>66669.092454835292</v>
      </c>
      <c r="AP490" s="83">
        <f t="shared" si="87"/>
        <v>151.65618475256113</v>
      </c>
      <c r="AQ490" s="83">
        <f t="shared" si="88"/>
        <v>227.48427712884171</v>
      </c>
      <c r="AR490" s="85"/>
      <c r="AS490" s="85">
        <v>1250</v>
      </c>
      <c r="AT490" s="53"/>
      <c r="AU490" s="53"/>
      <c r="AV490" s="53"/>
      <c r="AW490" s="53"/>
      <c r="AX490" s="53"/>
      <c r="AY490" s="53"/>
      <c r="AZ490" s="53"/>
      <c r="BA490" s="53"/>
      <c r="BB490" s="53"/>
      <c r="BC490" s="111">
        <f t="shared" si="89"/>
        <v>44446.061636556857</v>
      </c>
      <c r="BD490" s="111">
        <f t="shared" si="90"/>
        <v>66669.092454835292</v>
      </c>
    </row>
    <row r="491" spans="1:56" ht="21" customHeight="1" x14ac:dyDescent="0.25">
      <c r="A491" s="53">
        <v>481</v>
      </c>
      <c r="B491" s="53"/>
      <c r="C491" s="53"/>
      <c r="D491" s="53" t="s">
        <v>135</v>
      </c>
      <c r="E491" s="53"/>
      <c r="F491" s="53"/>
      <c r="G491" s="53" t="s">
        <v>211</v>
      </c>
      <c r="H491" s="53" t="s">
        <v>335</v>
      </c>
      <c r="I491" s="85" t="s">
        <v>336</v>
      </c>
      <c r="J491" s="85" t="s">
        <v>337</v>
      </c>
      <c r="K491" s="85" t="s">
        <v>338</v>
      </c>
      <c r="L491" s="53" t="s">
        <v>216</v>
      </c>
      <c r="M491" s="53" t="s">
        <v>295</v>
      </c>
      <c r="N491" s="53"/>
      <c r="O491" s="85" t="s">
        <v>339</v>
      </c>
      <c r="P491" s="53">
        <v>1</v>
      </c>
      <c r="Q491" s="53">
        <v>50</v>
      </c>
      <c r="R491" s="84">
        <v>0.93</v>
      </c>
      <c r="S491" s="53"/>
      <c r="T491" s="53"/>
      <c r="U491" s="53">
        <v>3</v>
      </c>
      <c r="V491" s="53">
        <v>480</v>
      </c>
      <c r="W491" s="53"/>
      <c r="X491" s="53"/>
      <c r="Y491" s="53"/>
      <c r="Z491" s="53"/>
      <c r="AA491" s="53"/>
      <c r="AB491" s="53"/>
      <c r="AC491" s="137" t="s">
        <v>117</v>
      </c>
      <c r="AD491" s="138" t="s">
        <v>111</v>
      </c>
      <c r="AE491" s="83">
        <v>8760</v>
      </c>
      <c r="AF491" s="139">
        <v>1</v>
      </c>
      <c r="AG491" s="179">
        <v>0.4</v>
      </c>
      <c r="AH491" s="139">
        <v>1</v>
      </c>
      <c r="AI491" s="139">
        <v>1</v>
      </c>
      <c r="AJ491" s="83">
        <f t="shared" si="81"/>
        <v>1401.6000000000001</v>
      </c>
      <c r="AK491" s="83">
        <f t="shared" si="82"/>
        <v>2102.4</v>
      </c>
      <c r="AL491" s="104">
        <f t="shared" si="83"/>
        <v>40.107526881720425</v>
      </c>
      <c r="AM491" s="104">
        <f t="shared" si="84"/>
        <v>40.107526881720425</v>
      </c>
      <c r="AN491" s="83">
        <f t="shared" si="85"/>
        <v>56214.709677419356</v>
      </c>
      <c r="AO491" s="83">
        <f t="shared" si="86"/>
        <v>84322.06451612903</v>
      </c>
      <c r="AP491" s="182">
        <f t="shared" si="87"/>
        <v>191.81245947870966</v>
      </c>
      <c r="AQ491" s="182">
        <f t="shared" si="88"/>
        <v>287.71868921806447</v>
      </c>
      <c r="AR491" s="85"/>
      <c r="AS491" s="85">
        <v>1875</v>
      </c>
      <c r="AT491" s="53"/>
      <c r="AU491" s="53"/>
      <c r="AV491" s="53"/>
      <c r="AW491" s="53"/>
      <c r="AX491" s="53"/>
      <c r="AY491" s="53"/>
      <c r="AZ491" s="53"/>
      <c r="BA491" s="53"/>
      <c r="BB491" s="53"/>
      <c r="BC491" s="111">
        <f t="shared" si="89"/>
        <v>56214.709677419356</v>
      </c>
      <c r="BD491" s="111">
        <f t="shared" si="90"/>
        <v>84322.06451612903</v>
      </c>
    </row>
    <row r="492" spans="1:56" ht="21" customHeight="1" x14ac:dyDescent="0.25">
      <c r="A492" s="53">
        <v>482</v>
      </c>
      <c r="B492" s="53"/>
      <c r="C492" s="53"/>
      <c r="D492" s="53" t="s">
        <v>135</v>
      </c>
      <c r="E492" s="53"/>
      <c r="F492" s="53"/>
      <c r="G492" s="53" t="s">
        <v>211</v>
      </c>
      <c r="H492" s="53" t="s">
        <v>335</v>
      </c>
      <c r="I492" s="85" t="s">
        <v>336</v>
      </c>
      <c r="J492" s="85" t="s">
        <v>337</v>
      </c>
      <c r="K492" s="85" t="s">
        <v>340</v>
      </c>
      <c r="L492" s="53" t="s">
        <v>216</v>
      </c>
      <c r="M492" s="53" t="s">
        <v>295</v>
      </c>
      <c r="N492" s="53"/>
      <c r="O492" s="85" t="s">
        <v>339</v>
      </c>
      <c r="P492" s="53">
        <v>1</v>
      </c>
      <c r="Q492" s="53">
        <v>50</v>
      </c>
      <c r="R492" s="84">
        <v>0.93</v>
      </c>
      <c r="S492" s="53"/>
      <c r="T492" s="53"/>
      <c r="U492" s="53">
        <v>3</v>
      </c>
      <c r="V492" s="53">
        <v>480</v>
      </c>
      <c r="W492" s="53"/>
      <c r="X492" s="53"/>
      <c r="Y492" s="53"/>
      <c r="Z492" s="53"/>
      <c r="AA492" s="53"/>
      <c r="AB492" s="53"/>
      <c r="AC492" s="137" t="s">
        <v>117</v>
      </c>
      <c r="AD492" s="138" t="s">
        <v>111</v>
      </c>
      <c r="AE492" s="83">
        <v>8760</v>
      </c>
      <c r="AF492" s="139">
        <v>1</v>
      </c>
      <c r="AG492" s="179">
        <v>0.4</v>
      </c>
      <c r="AH492" s="139">
        <v>1</v>
      </c>
      <c r="AI492" s="139">
        <v>1</v>
      </c>
      <c r="AJ492" s="83">
        <f t="shared" si="81"/>
        <v>1401.6000000000001</v>
      </c>
      <c r="AK492" s="83">
        <f t="shared" si="82"/>
        <v>2102.4</v>
      </c>
      <c r="AL492" s="104">
        <f t="shared" si="83"/>
        <v>40.107526881720425</v>
      </c>
      <c r="AM492" s="104">
        <f t="shared" si="84"/>
        <v>40.107526881720425</v>
      </c>
      <c r="AN492" s="83">
        <f t="shared" si="85"/>
        <v>56214.709677419356</v>
      </c>
      <c r="AO492" s="83">
        <f t="shared" si="86"/>
        <v>84322.06451612903</v>
      </c>
      <c r="AP492" s="182">
        <f t="shared" si="87"/>
        <v>191.81245947870966</v>
      </c>
      <c r="AQ492" s="182">
        <f t="shared" si="88"/>
        <v>287.71868921806447</v>
      </c>
      <c r="AR492" s="85"/>
      <c r="AS492" s="85">
        <v>1875</v>
      </c>
      <c r="AT492" s="53"/>
      <c r="AU492" s="53"/>
      <c r="AV492" s="53"/>
      <c r="AW492" s="53"/>
      <c r="AX492" s="53"/>
      <c r="AY492" s="53"/>
      <c r="AZ492" s="53"/>
      <c r="BA492" s="53"/>
      <c r="BB492" s="53"/>
      <c r="BC492" s="111">
        <f t="shared" si="89"/>
        <v>56214.709677419356</v>
      </c>
      <c r="BD492" s="111">
        <f t="shared" si="90"/>
        <v>84322.06451612903</v>
      </c>
    </row>
    <row r="493" spans="1:56" ht="21" customHeight="1" x14ac:dyDescent="0.25">
      <c r="A493" s="53">
        <v>483</v>
      </c>
      <c r="B493" s="53"/>
      <c r="C493" s="53"/>
      <c r="D493" s="53" t="s">
        <v>135</v>
      </c>
      <c r="E493" s="53"/>
      <c r="F493" s="53"/>
      <c r="G493" s="53" t="s">
        <v>211</v>
      </c>
      <c r="H493" s="53" t="s">
        <v>335</v>
      </c>
      <c r="I493" s="85" t="s">
        <v>336</v>
      </c>
      <c r="J493" s="85" t="s">
        <v>337</v>
      </c>
      <c r="K493" s="85" t="s">
        <v>341</v>
      </c>
      <c r="L493" s="53" t="s">
        <v>216</v>
      </c>
      <c r="M493" s="53" t="s">
        <v>295</v>
      </c>
      <c r="N493" s="53"/>
      <c r="O493" s="85" t="s">
        <v>339</v>
      </c>
      <c r="P493" s="53">
        <v>1</v>
      </c>
      <c r="Q493" s="53">
        <v>50</v>
      </c>
      <c r="R493" s="84">
        <v>0.93</v>
      </c>
      <c r="S493" s="53"/>
      <c r="T493" s="53"/>
      <c r="U493" s="53">
        <v>3</v>
      </c>
      <c r="V493" s="53">
        <v>480</v>
      </c>
      <c r="W493" s="53"/>
      <c r="X493" s="53"/>
      <c r="Y493" s="53"/>
      <c r="Z493" s="53"/>
      <c r="AA493" s="53"/>
      <c r="AB493" s="53"/>
      <c r="AC493" s="137" t="s">
        <v>117</v>
      </c>
      <c r="AD493" s="138" t="s">
        <v>111</v>
      </c>
      <c r="AE493" s="83">
        <v>8760</v>
      </c>
      <c r="AF493" s="139">
        <v>1</v>
      </c>
      <c r="AG493" s="179">
        <v>0.4</v>
      </c>
      <c r="AH493" s="139">
        <v>1</v>
      </c>
      <c r="AI493" s="139">
        <v>1</v>
      </c>
      <c r="AJ493" s="83">
        <f t="shared" si="81"/>
        <v>1401.6000000000001</v>
      </c>
      <c r="AK493" s="83">
        <f t="shared" si="82"/>
        <v>2102.4</v>
      </c>
      <c r="AL493" s="104">
        <f t="shared" si="83"/>
        <v>40.107526881720425</v>
      </c>
      <c r="AM493" s="104">
        <f t="shared" si="84"/>
        <v>40.107526881720425</v>
      </c>
      <c r="AN493" s="83">
        <f t="shared" si="85"/>
        <v>56214.709677419356</v>
      </c>
      <c r="AO493" s="83">
        <f t="shared" si="86"/>
        <v>84322.06451612903</v>
      </c>
      <c r="AP493" s="83">
        <f t="shared" si="87"/>
        <v>191.81245947870966</v>
      </c>
      <c r="AQ493" s="83">
        <f t="shared" si="88"/>
        <v>287.71868921806447</v>
      </c>
      <c r="AR493" s="85"/>
      <c r="AS493" s="85">
        <v>1875</v>
      </c>
      <c r="AT493" s="53"/>
      <c r="AU493" s="53"/>
      <c r="AV493" s="53"/>
      <c r="AW493" s="53"/>
      <c r="AX493" s="53"/>
      <c r="AY493" s="53"/>
      <c r="AZ493" s="53"/>
      <c r="BA493" s="53"/>
      <c r="BB493" s="53"/>
      <c r="BC493" s="111">
        <f t="shared" si="89"/>
        <v>56214.709677419356</v>
      </c>
      <c r="BD493" s="111">
        <f t="shared" si="90"/>
        <v>84322.06451612903</v>
      </c>
    </row>
    <row r="494" spans="1:56" ht="21" customHeight="1" x14ac:dyDescent="0.25">
      <c r="A494" s="53">
        <v>484</v>
      </c>
      <c r="B494" s="53"/>
      <c r="C494" s="53"/>
      <c r="D494" s="53" t="s">
        <v>135</v>
      </c>
      <c r="E494" s="53"/>
      <c r="F494" s="53"/>
      <c r="G494" s="53" t="s">
        <v>211</v>
      </c>
      <c r="H494" s="53" t="s">
        <v>335</v>
      </c>
      <c r="I494" s="85" t="s">
        <v>336</v>
      </c>
      <c r="J494" s="85" t="s">
        <v>337</v>
      </c>
      <c r="K494" s="85" t="s">
        <v>342</v>
      </c>
      <c r="L494" s="53" t="s">
        <v>216</v>
      </c>
      <c r="M494" s="53" t="s">
        <v>295</v>
      </c>
      <c r="N494" s="53"/>
      <c r="O494" s="85" t="s">
        <v>339</v>
      </c>
      <c r="P494" s="53">
        <v>1</v>
      </c>
      <c r="Q494" s="53">
        <v>50</v>
      </c>
      <c r="R494" s="84">
        <v>0.93</v>
      </c>
      <c r="S494" s="53"/>
      <c r="T494" s="53"/>
      <c r="U494" s="53">
        <v>3</v>
      </c>
      <c r="V494" s="53">
        <v>480</v>
      </c>
      <c r="W494" s="53"/>
      <c r="X494" s="53"/>
      <c r="Y494" s="53"/>
      <c r="Z494" s="53"/>
      <c r="AA494" s="53"/>
      <c r="AB494" s="53"/>
      <c r="AC494" s="137" t="s">
        <v>117</v>
      </c>
      <c r="AD494" s="138" t="s">
        <v>111</v>
      </c>
      <c r="AE494" s="83">
        <v>8760</v>
      </c>
      <c r="AF494" s="139">
        <v>1</v>
      </c>
      <c r="AG494" s="179">
        <v>0.4</v>
      </c>
      <c r="AH494" s="139">
        <v>1</v>
      </c>
      <c r="AI494" s="139">
        <v>1</v>
      </c>
      <c r="AJ494" s="83">
        <f t="shared" si="81"/>
        <v>1401.6000000000001</v>
      </c>
      <c r="AK494" s="83">
        <f t="shared" si="82"/>
        <v>2102.4</v>
      </c>
      <c r="AL494" s="104">
        <f t="shared" si="83"/>
        <v>40.107526881720425</v>
      </c>
      <c r="AM494" s="104">
        <f t="shared" si="84"/>
        <v>40.107526881720425</v>
      </c>
      <c r="AN494" s="83">
        <f t="shared" si="85"/>
        <v>56214.709677419356</v>
      </c>
      <c r="AO494" s="83">
        <f t="shared" si="86"/>
        <v>84322.06451612903</v>
      </c>
      <c r="AP494" s="182">
        <f t="shared" si="87"/>
        <v>191.81245947870966</v>
      </c>
      <c r="AQ494" s="182">
        <f t="shared" si="88"/>
        <v>287.71868921806447</v>
      </c>
      <c r="AR494" s="85"/>
      <c r="AS494" s="85">
        <v>1875</v>
      </c>
      <c r="AT494" s="53"/>
      <c r="AU494" s="53"/>
      <c r="AV494" s="53"/>
      <c r="AW494" s="53"/>
      <c r="AX494" s="53"/>
      <c r="AY494" s="53"/>
      <c r="AZ494" s="53"/>
      <c r="BA494" s="53"/>
      <c r="BB494" s="53"/>
      <c r="BC494" s="111">
        <f t="shared" si="89"/>
        <v>56214.709677419356</v>
      </c>
      <c r="BD494" s="111">
        <f t="shared" si="90"/>
        <v>84322.06451612903</v>
      </c>
    </row>
    <row r="495" spans="1:56" ht="21" customHeight="1" x14ac:dyDescent="0.25">
      <c r="A495" s="53">
        <v>485</v>
      </c>
      <c r="B495" s="53"/>
      <c r="C495" s="53"/>
      <c r="D495" s="298" t="s">
        <v>135</v>
      </c>
      <c r="E495" s="298"/>
      <c r="F495" s="298"/>
      <c r="G495" s="298" t="s">
        <v>211</v>
      </c>
      <c r="H495" s="298" t="s">
        <v>212</v>
      </c>
      <c r="I495" s="299" t="s">
        <v>213</v>
      </c>
      <c r="J495" s="299" t="s">
        <v>214</v>
      </c>
      <c r="K495" s="299" t="s">
        <v>236</v>
      </c>
      <c r="L495" s="298" t="s">
        <v>216</v>
      </c>
      <c r="M495" s="298" t="s">
        <v>217</v>
      </c>
      <c r="N495" s="298"/>
      <c r="O495" s="299" t="s">
        <v>237</v>
      </c>
      <c r="P495" s="298">
        <v>1</v>
      </c>
      <c r="Q495" s="306">
        <v>458</v>
      </c>
      <c r="R495" s="84">
        <v>0.95799999999999996</v>
      </c>
      <c r="S495" s="53"/>
      <c r="T495" s="53"/>
      <c r="U495" s="53">
        <v>3</v>
      </c>
      <c r="V495" s="53">
        <v>480</v>
      </c>
      <c r="W495" s="53"/>
      <c r="X495" s="53"/>
      <c r="Y495" s="53"/>
      <c r="Z495" s="53"/>
      <c r="AA495" s="53"/>
      <c r="AB495" s="53"/>
      <c r="AC495" s="137" t="s">
        <v>129</v>
      </c>
      <c r="AD495" s="138" t="s">
        <v>111</v>
      </c>
      <c r="AE495" s="83">
        <v>8760</v>
      </c>
      <c r="AF495" s="139">
        <v>1</v>
      </c>
      <c r="AG495" s="179">
        <v>1</v>
      </c>
      <c r="AH495" s="179">
        <v>0.1</v>
      </c>
      <c r="AI495" s="179">
        <v>0.7</v>
      </c>
      <c r="AJ495" s="83">
        <f t="shared" si="81"/>
        <v>3504</v>
      </c>
      <c r="AK495" s="83">
        <f t="shared" si="82"/>
        <v>5256</v>
      </c>
      <c r="AL495" s="104">
        <f t="shared" si="83"/>
        <v>35.66471816283925</v>
      </c>
      <c r="AM495" s="104">
        <f t="shared" si="84"/>
        <v>249.65302713987472</v>
      </c>
      <c r="AN495" s="83">
        <f t="shared" si="85"/>
        <v>124969.17244258874</v>
      </c>
      <c r="AO495" s="83">
        <f t="shared" si="86"/>
        <v>1312176.3106471815</v>
      </c>
      <c r="AP495" s="182">
        <f t="shared" si="87"/>
        <v>426.41231205825471</v>
      </c>
      <c r="AQ495" s="182">
        <f t="shared" si="88"/>
        <v>4477.3292766116738</v>
      </c>
      <c r="AR495" s="85"/>
      <c r="AS495" s="85">
        <v>1050</v>
      </c>
      <c r="AT495" s="53"/>
      <c r="AU495" s="53"/>
      <c r="AV495" s="53"/>
      <c r="AW495" s="53"/>
      <c r="AX495" s="53"/>
      <c r="AY495" s="53"/>
      <c r="AZ495" s="53"/>
      <c r="BA495" s="53"/>
      <c r="BB495" s="53"/>
      <c r="BC495" s="111">
        <f t="shared" si="89"/>
        <v>124969.17244258874</v>
      </c>
      <c r="BD495" s="111">
        <f t="shared" si="90"/>
        <v>1312176.3106471815</v>
      </c>
    </row>
    <row r="496" spans="1:56" ht="21" customHeight="1" x14ac:dyDescent="0.25">
      <c r="A496" s="53">
        <v>486</v>
      </c>
      <c r="B496" s="53"/>
      <c r="C496" s="53"/>
      <c r="D496" s="298" t="s">
        <v>135</v>
      </c>
      <c r="E496" s="298"/>
      <c r="F496" s="298"/>
      <c r="G496" s="298" t="s">
        <v>211</v>
      </c>
      <c r="H496" s="298" t="s">
        <v>212</v>
      </c>
      <c r="I496" s="299" t="s">
        <v>213</v>
      </c>
      <c r="J496" s="299" t="s">
        <v>214</v>
      </c>
      <c r="K496" s="299" t="s">
        <v>238</v>
      </c>
      <c r="L496" s="298" t="s">
        <v>216</v>
      </c>
      <c r="M496" s="298" t="s">
        <v>217</v>
      </c>
      <c r="N496" s="298"/>
      <c r="O496" s="299" t="s">
        <v>237</v>
      </c>
      <c r="P496" s="298">
        <v>1</v>
      </c>
      <c r="Q496" s="306">
        <v>458</v>
      </c>
      <c r="R496" s="84">
        <v>0.95799999999999996</v>
      </c>
      <c r="S496" s="53"/>
      <c r="T496" s="53"/>
      <c r="U496" s="53">
        <v>3</v>
      </c>
      <c r="V496" s="53">
        <v>480</v>
      </c>
      <c r="W496" s="53"/>
      <c r="X496" s="53"/>
      <c r="Y496" s="53"/>
      <c r="Z496" s="53"/>
      <c r="AA496" s="53"/>
      <c r="AB496" s="53"/>
      <c r="AC496" s="137" t="s">
        <v>129</v>
      </c>
      <c r="AD496" s="138" t="s">
        <v>111</v>
      </c>
      <c r="AE496" s="83">
        <v>8760</v>
      </c>
      <c r="AF496" s="139">
        <v>1</v>
      </c>
      <c r="AG496" s="179">
        <v>1</v>
      </c>
      <c r="AH496" s="179">
        <v>0.1</v>
      </c>
      <c r="AI496" s="179">
        <v>0.7</v>
      </c>
      <c r="AJ496" s="83">
        <f t="shared" si="81"/>
        <v>3504</v>
      </c>
      <c r="AK496" s="83">
        <f t="shared" si="82"/>
        <v>5256</v>
      </c>
      <c r="AL496" s="104">
        <f t="shared" si="83"/>
        <v>35.66471816283925</v>
      </c>
      <c r="AM496" s="104">
        <f t="shared" si="84"/>
        <v>249.65302713987472</v>
      </c>
      <c r="AN496" s="83">
        <f t="shared" si="85"/>
        <v>124969.17244258874</v>
      </c>
      <c r="AO496" s="83">
        <f t="shared" si="86"/>
        <v>1312176.3106471815</v>
      </c>
      <c r="AP496" s="83">
        <f t="shared" si="87"/>
        <v>426.41231205825471</v>
      </c>
      <c r="AQ496" s="83">
        <f t="shared" si="88"/>
        <v>4477.3292766116738</v>
      </c>
      <c r="AR496" s="85"/>
      <c r="AS496" s="85">
        <v>1050</v>
      </c>
      <c r="AT496" s="53"/>
      <c r="AU496" s="53"/>
      <c r="AV496" s="53"/>
      <c r="AW496" s="53"/>
      <c r="AX496" s="53"/>
      <c r="AY496" s="53"/>
      <c r="AZ496" s="53"/>
      <c r="BA496" s="53"/>
      <c r="BB496" s="53"/>
      <c r="BC496" s="111">
        <f t="shared" si="89"/>
        <v>124969.17244258874</v>
      </c>
      <c r="BD496" s="111">
        <f t="shared" si="90"/>
        <v>1312176.3106471815</v>
      </c>
    </row>
    <row r="497" spans="1:56" ht="21" customHeight="1" x14ac:dyDescent="0.25">
      <c r="A497" s="53">
        <v>487</v>
      </c>
      <c r="B497" s="53"/>
      <c r="C497" s="53"/>
      <c r="D497" s="53" t="s">
        <v>135</v>
      </c>
      <c r="E497" s="53"/>
      <c r="F497" s="53"/>
      <c r="G497" s="53" t="s">
        <v>211</v>
      </c>
      <c r="H497" s="53" t="s">
        <v>212</v>
      </c>
      <c r="I497" s="85" t="s">
        <v>213</v>
      </c>
      <c r="J497" s="85" t="s">
        <v>214</v>
      </c>
      <c r="K497" s="85" t="s">
        <v>215</v>
      </c>
      <c r="L497" s="53" t="s">
        <v>216</v>
      </c>
      <c r="M497" s="53" t="s">
        <v>217</v>
      </c>
      <c r="N497" s="53"/>
      <c r="O497" s="85" t="s">
        <v>218</v>
      </c>
      <c r="P497" s="53">
        <v>1</v>
      </c>
      <c r="Q497" s="56">
        <v>1155.7640750670241</v>
      </c>
      <c r="R497" s="84">
        <v>0.95799999999999996</v>
      </c>
      <c r="S497" s="53"/>
      <c r="T497" s="53"/>
      <c r="U497" s="53">
        <v>3</v>
      </c>
      <c r="V497" s="53">
        <v>480</v>
      </c>
      <c r="W497" s="53"/>
      <c r="X497" s="53"/>
      <c r="Y497" s="53"/>
      <c r="Z497" s="53"/>
      <c r="AA497" s="53"/>
      <c r="AB497" s="53"/>
      <c r="AC497" s="137" t="s">
        <v>129</v>
      </c>
      <c r="AD497" s="138" t="s">
        <v>111</v>
      </c>
      <c r="AE497" s="83">
        <v>8760</v>
      </c>
      <c r="AF497" s="139">
        <v>1</v>
      </c>
      <c r="AG497" s="179">
        <v>1</v>
      </c>
      <c r="AH497" s="139">
        <v>0</v>
      </c>
      <c r="AI497" s="139">
        <v>0.7</v>
      </c>
      <c r="AJ497" s="83">
        <f t="shared" si="81"/>
        <v>3504</v>
      </c>
      <c r="AK497" s="83">
        <f t="shared" si="82"/>
        <v>5256</v>
      </c>
      <c r="AL497" s="104">
        <f t="shared" si="83"/>
        <v>0</v>
      </c>
      <c r="AM497" s="104">
        <f t="shared" si="84"/>
        <v>630</v>
      </c>
      <c r="AN497" s="83">
        <f t="shared" si="85"/>
        <v>0</v>
      </c>
      <c r="AO497" s="83">
        <f t="shared" si="86"/>
        <v>3311280</v>
      </c>
      <c r="AP497" s="182">
        <f t="shared" si="87"/>
        <v>0</v>
      </c>
      <c r="AQ497" s="182">
        <f t="shared" si="88"/>
        <v>11298.550939199999</v>
      </c>
      <c r="AR497" s="85"/>
      <c r="AS497" s="85">
        <v>1500</v>
      </c>
      <c r="AT497" s="53"/>
      <c r="AU497" s="53"/>
      <c r="AV497" s="53"/>
      <c r="AW497" s="53"/>
      <c r="AX497" s="53"/>
      <c r="AY497" s="53"/>
      <c r="AZ497" s="53"/>
      <c r="BA497" s="53"/>
      <c r="BB497" s="53"/>
      <c r="BC497" s="111">
        <f t="shared" si="89"/>
        <v>0</v>
      </c>
      <c r="BD497" s="111">
        <f t="shared" si="90"/>
        <v>3311280</v>
      </c>
    </row>
    <row r="498" spans="1:56" ht="21" customHeight="1" x14ac:dyDescent="0.25">
      <c r="A498" s="53">
        <v>488</v>
      </c>
      <c r="B498" s="53"/>
      <c r="C498" s="53"/>
      <c r="D498" s="53" t="s">
        <v>135</v>
      </c>
      <c r="E498" s="53"/>
      <c r="F498" s="53"/>
      <c r="G498" s="53" t="s">
        <v>211</v>
      </c>
      <c r="H498" s="53" t="s">
        <v>212</v>
      </c>
      <c r="I498" s="85" t="s">
        <v>213</v>
      </c>
      <c r="J498" s="85" t="s">
        <v>214</v>
      </c>
      <c r="K498" s="85" t="s">
        <v>219</v>
      </c>
      <c r="L498" s="53" t="s">
        <v>216</v>
      </c>
      <c r="M498" s="53" t="s">
        <v>217</v>
      </c>
      <c r="N498" s="53"/>
      <c r="O498" s="85" t="s">
        <v>218</v>
      </c>
      <c r="P498" s="53">
        <v>1</v>
      </c>
      <c r="Q498" s="56">
        <v>1155.7640750670241</v>
      </c>
      <c r="R498" s="84">
        <v>0.95799999999999996</v>
      </c>
      <c r="S498" s="53"/>
      <c r="T498" s="53"/>
      <c r="U498" s="53">
        <v>3</v>
      </c>
      <c r="V498" s="53">
        <v>480</v>
      </c>
      <c r="W498" s="53"/>
      <c r="X498" s="53"/>
      <c r="Y498" s="53"/>
      <c r="Z498" s="53"/>
      <c r="AA498" s="53"/>
      <c r="AB498" s="53"/>
      <c r="AC498" s="137" t="s">
        <v>129</v>
      </c>
      <c r="AD498" s="138" t="s">
        <v>111</v>
      </c>
      <c r="AE498" s="83">
        <v>8760</v>
      </c>
      <c r="AF498" s="139">
        <v>1</v>
      </c>
      <c r="AG498" s="179">
        <v>1</v>
      </c>
      <c r="AH498" s="139">
        <v>0</v>
      </c>
      <c r="AI498" s="139">
        <v>0.7</v>
      </c>
      <c r="AJ498" s="83">
        <f t="shared" si="81"/>
        <v>3504</v>
      </c>
      <c r="AK498" s="83">
        <f t="shared" si="82"/>
        <v>5256</v>
      </c>
      <c r="AL498" s="104">
        <f t="shared" si="83"/>
        <v>0</v>
      </c>
      <c r="AM498" s="104">
        <f t="shared" si="84"/>
        <v>630</v>
      </c>
      <c r="AN498" s="83">
        <f t="shared" si="85"/>
        <v>0</v>
      </c>
      <c r="AO498" s="83">
        <f t="shared" si="86"/>
        <v>3311280</v>
      </c>
      <c r="AP498" s="182">
        <f t="shared" si="87"/>
        <v>0</v>
      </c>
      <c r="AQ498" s="182">
        <f t="shared" si="88"/>
        <v>11298.550939199999</v>
      </c>
      <c r="AR498" s="85"/>
      <c r="AS498" s="85">
        <v>1500</v>
      </c>
      <c r="AT498" s="53"/>
      <c r="AU498" s="53"/>
      <c r="AV498" s="53"/>
      <c r="AW498" s="53"/>
      <c r="AX498" s="53"/>
      <c r="AY498" s="53"/>
      <c r="AZ498" s="53"/>
      <c r="BA498" s="53"/>
      <c r="BB498" s="53"/>
      <c r="BC498" s="111">
        <f t="shared" si="89"/>
        <v>0</v>
      </c>
      <c r="BD498" s="111">
        <f t="shared" si="90"/>
        <v>3311280</v>
      </c>
    </row>
    <row r="499" spans="1:56" ht="21" customHeight="1" x14ac:dyDescent="0.25">
      <c r="A499" s="53">
        <v>489</v>
      </c>
      <c r="B499" s="53"/>
      <c r="C499" s="53"/>
      <c r="D499" s="53" t="s">
        <v>135</v>
      </c>
      <c r="E499" s="53"/>
      <c r="F499" s="53"/>
      <c r="G499" s="53" t="s">
        <v>211</v>
      </c>
      <c r="H499" s="53" t="s">
        <v>212</v>
      </c>
      <c r="I499" s="85" t="s">
        <v>213</v>
      </c>
      <c r="J499" s="85" t="s">
        <v>214</v>
      </c>
      <c r="K499" s="85" t="s">
        <v>943</v>
      </c>
      <c r="L499" s="53" t="s">
        <v>216</v>
      </c>
      <c r="M499" s="53" t="s">
        <v>217</v>
      </c>
      <c r="N499" s="53"/>
      <c r="O499" s="85" t="s">
        <v>218</v>
      </c>
      <c r="P499" s="53">
        <v>1</v>
      </c>
      <c r="Q499" s="56">
        <v>1155.7640750670241</v>
      </c>
      <c r="R499" s="84">
        <v>0.95799999999999996</v>
      </c>
      <c r="S499" s="53"/>
      <c r="T499" s="53"/>
      <c r="U499" s="53">
        <v>3</v>
      </c>
      <c r="V499" s="53">
        <v>480</v>
      </c>
      <c r="W499" s="53"/>
      <c r="X499" s="53"/>
      <c r="Y499" s="53"/>
      <c r="Z499" s="53"/>
      <c r="AA499" s="53"/>
      <c r="AB499" s="53"/>
      <c r="AC499" s="137" t="s">
        <v>129</v>
      </c>
      <c r="AD499" s="138" t="s">
        <v>111</v>
      </c>
      <c r="AE499" s="83">
        <v>8760</v>
      </c>
      <c r="AF499" s="139">
        <v>1</v>
      </c>
      <c r="AG499" s="179">
        <v>1</v>
      </c>
      <c r="AH499" s="139">
        <v>0</v>
      </c>
      <c r="AI499" s="139">
        <v>0</v>
      </c>
      <c r="AJ499" s="83">
        <f t="shared" si="81"/>
        <v>3504</v>
      </c>
      <c r="AK499" s="83">
        <f t="shared" si="82"/>
        <v>5256</v>
      </c>
      <c r="AL499" s="104">
        <f t="shared" si="83"/>
        <v>0</v>
      </c>
      <c r="AM499" s="104">
        <f t="shared" si="84"/>
        <v>0</v>
      </c>
      <c r="AN499" s="83">
        <f t="shared" si="85"/>
        <v>0</v>
      </c>
      <c r="AO499" s="83">
        <f t="shared" si="86"/>
        <v>0</v>
      </c>
      <c r="AP499" s="83">
        <f t="shared" si="87"/>
        <v>0</v>
      </c>
      <c r="AQ499" s="83">
        <f t="shared" si="88"/>
        <v>0</v>
      </c>
      <c r="AR499" s="85"/>
      <c r="AS499" s="85">
        <v>1500</v>
      </c>
      <c r="AT499" s="53"/>
      <c r="AU499" s="53"/>
      <c r="AV499" s="53"/>
      <c r="AW499" s="53"/>
      <c r="AX499" s="53"/>
      <c r="AY499" s="53"/>
      <c r="AZ499" s="53"/>
      <c r="BA499" s="53"/>
      <c r="BB499" s="53"/>
      <c r="BC499" s="111">
        <f t="shared" si="89"/>
        <v>0</v>
      </c>
      <c r="BD499" s="111">
        <f t="shared" si="90"/>
        <v>0</v>
      </c>
    </row>
    <row r="500" spans="1:56" ht="21" customHeight="1" x14ac:dyDescent="0.25">
      <c r="A500" s="53">
        <v>490</v>
      </c>
      <c r="B500" s="53"/>
      <c r="C500" s="53"/>
      <c r="D500" s="53" t="s">
        <v>135</v>
      </c>
      <c r="E500" s="53"/>
      <c r="F500" s="53"/>
      <c r="G500" s="53" t="s">
        <v>211</v>
      </c>
      <c r="H500" s="53" t="s">
        <v>212</v>
      </c>
      <c r="I500" s="85" t="s">
        <v>213</v>
      </c>
      <c r="J500" s="85" t="s">
        <v>214</v>
      </c>
      <c r="K500" s="85" t="s">
        <v>944</v>
      </c>
      <c r="L500" s="53" t="s">
        <v>216</v>
      </c>
      <c r="M500" s="53" t="s">
        <v>217</v>
      </c>
      <c r="N500" s="53"/>
      <c r="O500" s="85" t="s">
        <v>218</v>
      </c>
      <c r="P500" s="53">
        <v>1</v>
      </c>
      <c r="Q500" s="56">
        <v>1155.7640750670241</v>
      </c>
      <c r="R500" s="84">
        <v>0.95799999999999996</v>
      </c>
      <c r="S500" s="53"/>
      <c r="T500" s="53"/>
      <c r="U500" s="53">
        <v>3</v>
      </c>
      <c r="V500" s="53">
        <v>480</v>
      </c>
      <c r="W500" s="53"/>
      <c r="X500" s="53"/>
      <c r="Y500" s="53"/>
      <c r="Z500" s="53"/>
      <c r="AA500" s="53"/>
      <c r="AB500" s="53"/>
      <c r="AC500" s="137" t="s">
        <v>129</v>
      </c>
      <c r="AD500" s="138" t="s">
        <v>111</v>
      </c>
      <c r="AE500" s="83">
        <v>8760</v>
      </c>
      <c r="AF500" s="139">
        <v>1</v>
      </c>
      <c r="AG500" s="179">
        <v>1</v>
      </c>
      <c r="AH500" s="139">
        <v>0</v>
      </c>
      <c r="AI500" s="139">
        <v>0</v>
      </c>
      <c r="AJ500" s="83">
        <f t="shared" si="81"/>
        <v>3504</v>
      </c>
      <c r="AK500" s="83">
        <f t="shared" si="82"/>
        <v>5256</v>
      </c>
      <c r="AL500" s="104">
        <f t="shared" si="83"/>
        <v>0</v>
      </c>
      <c r="AM500" s="104">
        <f t="shared" si="84"/>
        <v>0</v>
      </c>
      <c r="AN500" s="83">
        <f t="shared" si="85"/>
        <v>0</v>
      </c>
      <c r="AO500" s="83">
        <f t="shared" si="86"/>
        <v>0</v>
      </c>
      <c r="AP500" s="182">
        <f t="shared" si="87"/>
        <v>0</v>
      </c>
      <c r="AQ500" s="182">
        <f t="shared" si="88"/>
        <v>0</v>
      </c>
      <c r="AR500" s="85"/>
      <c r="AS500" s="85">
        <v>1500</v>
      </c>
      <c r="AT500" s="53"/>
      <c r="AU500" s="53"/>
      <c r="AV500" s="53"/>
      <c r="AW500" s="53"/>
      <c r="AX500" s="53"/>
      <c r="AY500" s="53"/>
      <c r="AZ500" s="53"/>
      <c r="BA500" s="53"/>
      <c r="BB500" s="53"/>
      <c r="BC500" s="111">
        <f t="shared" si="89"/>
        <v>0</v>
      </c>
      <c r="BD500" s="111">
        <f t="shared" si="90"/>
        <v>0</v>
      </c>
    </row>
    <row r="501" spans="1:56" ht="21" customHeight="1" x14ac:dyDescent="0.25">
      <c r="A501" s="53">
        <v>491</v>
      </c>
      <c r="B501" s="53"/>
      <c r="C501" s="53"/>
      <c r="D501" s="53" t="s">
        <v>135</v>
      </c>
      <c r="E501" s="53"/>
      <c r="F501" s="53"/>
      <c r="G501" s="53" t="s">
        <v>211</v>
      </c>
      <c r="H501" s="53" t="s">
        <v>212</v>
      </c>
      <c r="I501" s="85" t="s">
        <v>213</v>
      </c>
      <c r="J501" s="85" t="s">
        <v>941</v>
      </c>
      <c r="K501" s="85" t="s">
        <v>299</v>
      </c>
      <c r="L501" s="53" t="s">
        <v>216</v>
      </c>
      <c r="M501" s="53" t="s">
        <v>300</v>
      </c>
      <c r="N501" s="53"/>
      <c r="O501" s="85" t="s">
        <v>942</v>
      </c>
      <c r="P501" s="53">
        <v>2</v>
      </c>
      <c r="Q501" s="53">
        <v>275</v>
      </c>
      <c r="R501" s="84">
        <v>0.95</v>
      </c>
      <c r="S501" s="53"/>
      <c r="T501" s="53"/>
      <c r="U501" s="53">
        <v>3</v>
      </c>
      <c r="V501" s="53">
        <v>480</v>
      </c>
      <c r="W501" s="53"/>
      <c r="X501" s="53"/>
      <c r="Y501" s="53"/>
      <c r="Z501" s="53"/>
      <c r="AA501" s="53"/>
      <c r="AB501" s="53"/>
      <c r="AC501" s="137" t="s">
        <v>129</v>
      </c>
      <c r="AD501" s="138" t="s">
        <v>111</v>
      </c>
      <c r="AE501" s="83">
        <v>8760</v>
      </c>
      <c r="AF501" s="139">
        <v>1</v>
      </c>
      <c r="AG501" s="179">
        <v>1</v>
      </c>
      <c r="AH501" s="139">
        <v>0.1</v>
      </c>
      <c r="AI501" s="139">
        <v>0.5</v>
      </c>
      <c r="AJ501" s="83">
        <f t="shared" si="81"/>
        <v>3504</v>
      </c>
      <c r="AK501" s="83">
        <f t="shared" si="82"/>
        <v>5256</v>
      </c>
      <c r="AL501" s="104">
        <f t="shared" si="83"/>
        <v>43.189473684210533</v>
      </c>
      <c r="AM501" s="104">
        <f t="shared" si="84"/>
        <v>215.94736842105266</v>
      </c>
      <c r="AN501" s="83">
        <f t="shared" si="85"/>
        <v>151335.91578947371</v>
      </c>
      <c r="AO501" s="83">
        <f t="shared" si="86"/>
        <v>1135019.3684210528</v>
      </c>
      <c r="AP501" s="182">
        <f t="shared" si="87"/>
        <v>516.37933170189478</v>
      </c>
      <c r="AQ501" s="182">
        <f t="shared" si="88"/>
        <v>3872.8449877642111</v>
      </c>
      <c r="AR501" s="85"/>
      <c r="AS501" s="85">
        <v>350</v>
      </c>
      <c r="AT501" s="53"/>
      <c r="AU501" s="53"/>
      <c r="AV501" s="53"/>
      <c r="AW501" s="53"/>
      <c r="AX501" s="53"/>
      <c r="AY501" s="53"/>
      <c r="AZ501" s="53"/>
      <c r="BA501" s="53"/>
      <c r="BB501" s="53"/>
      <c r="BC501" s="111">
        <f t="shared" si="89"/>
        <v>151335.91578947371</v>
      </c>
      <c r="BD501" s="111">
        <f t="shared" si="90"/>
        <v>1135019.3684210528</v>
      </c>
    </row>
    <row r="502" spans="1:56" ht="21" customHeight="1" x14ac:dyDescent="0.25">
      <c r="A502" s="53">
        <v>492</v>
      </c>
      <c r="B502" s="53"/>
      <c r="C502" s="53"/>
      <c r="D502" s="53" t="s">
        <v>135</v>
      </c>
      <c r="E502" s="53"/>
      <c r="F502" s="53"/>
      <c r="G502" s="53" t="s">
        <v>211</v>
      </c>
      <c r="H502" s="53" t="s">
        <v>212</v>
      </c>
      <c r="I502" s="85" t="s">
        <v>213</v>
      </c>
      <c r="J502" s="85" t="s">
        <v>298</v>
      </c>
      <c r="K502" s="85" t="s">
        <v>299</v>
      </c>
      <c r="L502" s="53" t="s">
        <v>216</v>
      </c>
      <c r="M502" s="53" t="s">
        <v>300</v>
      </c>
      <c r="N502" s="53"/>
      <c r="O502" s="85" t="s">
        <v>301</v>
      </c>
      <c r="P502" s="53">
        <v>1</v>
      </c>
      <c r="Q502" s="53">
        <v>75</v>
      </c>
      <c r="R502" s="84">
        <v>0.94099999999999995</v>
      </c>
      <c r="S502" s="53"/>
      <c r="T502" s="53"/>
      <c r="U502" s="53">
        <v>3</v>
      </c>
      <c r="V502" s="53">
        <v>480</v>
      </c>
      <c r="W502" s="53"/>
      <c r="X502" s="53"/>
      <c r="Y502" s="53"/>
      <c r="Z502" s="53"/>
      <c r="AA502" s="53"/>
      <c r="AB502" s="53"/>
      <c r="AC502" s="137" t="s">
        <v>129</v>
      </c>
      <c r="AD502" s="138" t="s">
        <v>111</v>
      </c>
      <c r="AE502" s="83">
        <v>8760</v>
      </c>
      <c r="AF502" s="139">
        <v>1</v>
      </c>
      <c r="AG502" s="179">
        <v>1</v>
      </c>
      <c r="AH502" s="139">
        <v>0.1</v>
      </c>
      <c r="AI502" s="139">
        <v>0.5</v>
      </c>
      <c r="AJ502" s="83">
        <f t="shared" si="81"/>
        <v>3504</v>
      </c>
      <c r="AK502" s="83">
        <f t="shared" si="82"/>
        <v>5256</v>
      </c>
      <c r="AL502" s="104">
        <f t="shared" si="83"/>
        <v>5.945802337938364</v>
      </c>
      <c r="AM502" s="104">
        <f t="shared" si="84"/>
        <v>29.72901168969182</v>
      </c>
      <c r="AN502" s="83">
        <f t="shared" si="85"/>
        <v>20834.091392136026</v>
      </c>
      <c r="AO502" s="83">
        <f t="shared" si="86"/>
        <v>156255.68544102021</v>
      </c>
      <c r="AP502" s="83">
        <f t="shared" si="87"/>
        <v>71.08883660276301</v>
      </c>
      <c r="AQ502" s="83">
        <f t="shared" si="88"/>
        <v>533.16627452072271</v>
      </c>
      <c r="AR502" s="85"/>
      <c r="AS502" s="85">
        <v>100</v>
      </c>
      <c r="AT502" s="53"/>
      <c r="AU502" s="53"/>
      <c r="AV502" s="53"/>
      <c r="AW502" s="53"/>
      <c r="AX502" s="53"/>
      <c r="AY502" s="53"/>
      <c r="AZ502" s="53"/>
      <c r="BA502" s="53"/>
      <c r="BB502" s="53"/>
      <c r="BC502" s="111">
        <f t="shared" si="89"/>
        <v>20834.091392136026</v>
      </c>
      <c r="BD502" s="111">
        <f t="shared" si="90"/>
        <v>156255.68544102021</v>
      </c>
    </row>
    <row r="503" spans="1:56" ht="21" customHeight="1" x14ac:dyDescent="0.25">
      <c r="A503" s="53">
        <v>493</v>
      </c>
      <c r="B503" s="53"/>
      <c r="C503" s="53"/>
      <c r="D503" s="53" t="s">
        <v>135</v>
      </c>
      <c r="E503" s="53"/>
      <c r="F503" s="53"/>
      <c r="G503" s="53" t="s">
        <v>211</v>
      </c>
      <c r="H503" s="53" t="s">
        <v>239</v>
      </c>
      <c r="I503" s="85" t="s">
        <v>240</v>
      </c>
      <c r="J503" s="85" t="s">
        <v>241</v>
      </c>
      <c r="K503" s="85" t="s">
        <v>242</v>
      </c>
      <c r="L503" s="53" t="s">
        <v>216</v>
      </c>
      <c r="M503" s="53" t="s">
        <v>243</v>
      </c>
      <c r="N503" s="53"/>
      <c r="O503" s="85" t="s">
        <v>244</v>
      </c>
      <c r="P503" s="53">
        <v>1</v>
      </c>
      <c r="Q503" s="53">
        <v>500</v>
      </c>
      <c r="R503" s="84">
        <v>0.95499999999999996</v>
      </c>
      <c r="S503" s="53"/>
      <c r="T503" s="53"/>
      <c r="U503" s="53">
        <v>3</v>
      </c>
      <c r="V503" s="53">
        <v>480</v>
      </c>
      <c r="W503" s="53"/>
      <c r="X503" s="53"/>
      <c r="Y503" s="53"/>
      <c r="Z503" s="53"/>
      <c r="AA503" s="53"/>
      <c r="AB503" s="53"/>
      <c r="AC503" s="137" t="s">
        <v>129</v>
      </c>
      <c r="AD503" s="138" t="s">
        <v>118</v>
      </c>
      <c r="AE503" s="83">
        <v>8760</v>
      </c>
      <c r="AF503" s="139">
        <v>1</v>
      </c>
      <c r="AG503" s="179">
        <v>1</v>
      </c>
      <c r="AH503" s="179">
        <v>0.1</v>
      </c>
      <c r="AI503" s="179">
        <v>0.5</v>
      </c>
      <c r="AJ503" s="83">
        <f t="shared" si="81"/>
        <v>3504</v>
      </c>
      <c r="AK503" s="83">
        <f t="shared" si="82"/>
        <v>5256</v>
      </c>
      <c r="AL503" s="104">
        <f t="shared" si="83"/>
        <v>39.05759162303665</v>
      </c>
      <c r="AM503" s="104">
        <f t="shared" si="84"/>
        <v>195.28795811518324</v>
      </c>
      <c r="AN503" s="83">
        <f t="shared" si="85"/>
        <v>136857.80104712042</v>
      </c>
      <c r="AO503" s="83">
        <f t="shared" si="86"/>
        <v>1026433.5078534031</v>
      </c>
      <c r="AP503" s="182">
        <f t="shared" si="87"/>
        <v>466.97797726492144</v>
      </c>
      <c r="AQ503" s="182">
        <f t="shared" si="88"/>
        <v>3502.3348294869106</v>
      </c>
      <c r="AR503" s="85"/>
      <c r="AS503" s="85"/>
      <c r="AT503" s="53"/>
      <c r="AU503" s="53"/>
      <c r="AV503" s="53"/>
      <c r="AW503" s="53"/>
      <c r="AX503" s="53"/>
      <c r="AY503" s="53"/>
      <c r="AZ503" s="53"/>
      <c r="BA503" s="53"/>
      <c r="BB503" s="53"/>
      <c r="BC503" s="111">
        <f t="shared" si="89"/>
        <v>136857.80104712042</v>
      </c>
      <c r="BD503" s="111">
        <f t="shared" si="90"/>
        <v>1026433.5078534031</v>
      </c>
    </row>
    <row r="504" spans="1:56" ht="21" customHeight="1" x14ac:dyDescent="0.25">
      <c r="A504" s="53">
        <v>494</v>
      </c>
      <c r="B504" s="53"/>
      <c r="C504" s="53"/>
      <c r="D504" s="298" t="s">
        <v>135</v>
      </c>
      <c r="E504" s="298"/>
      <c r="F504" s="298"/>
      <c r="G504" s="298" t="s">
        <v>211</v>
      </c>
      <c r="H504" s="298" t="s">
        <v>239</v>
      </c>
      <c r="I504" s="299" t="s">
        <v>240</v>
      </c>
      <c r="J504" s="299" t="s">
        <v>241</v>
      </c>
      <c r="K504" s="299" t="s">
        <v>283</v>
      </c>
      <c r="L504" s="298" t="s">
        <v>216</v>
      </c>
      <c r="M504" s="298" t="s">
        <v>243</v>
      </c>
      <c r="N504" s="298"/>
      <c r="O504" s="299" t="s">
        <v>284</v>
      </c>
      <c r="P504" s="298">
        <v>1</v>
      </c>
      <c r="Q504" s="298">
        <v>200</v>
      </c>
      <c r="R504" s="84">
        <v>0.96199999999999997</v>
      </c>
      <c r="S504" s="53"/>
      <c r="T504" s="53"/>
      <c r="U504" s="53">
        <v>3</v>
      </c>
      <c r="V504" s="53">
        <v>480</v>
      </c>
      <c r="W504" s="53"/>
      <c r="X504" s="53"/>
      <c r="Y504" s="53"/>
      <c r="Z504" s="53"/>
      <c r="AA504" s="53"/>
      <c r="AB504" s="53"/>
      <c r="AC504" s="137" t="s">
        <v>129</v>
      </c>
      <c r="AD504" s="138" t="s">
        <v>118</v>
      </c>
      <c r="AE504" s="83">
        <v>8760</v>
      </c>
      <c r="AF504" s="139">
        <v>1</v>
      </c>
      <c r="AG504" s="179">
        <v>0.42</v>
      </c>
      <c r="AH504" s="139">
        <v>0.75</v>
      </c>
      <c r="AI504" s="139">
        <v>0.75</v>
      </c>
      <c r="AJ504" s="83">
        <f t="shared" si="81"/>
        <v>1471.68</v>
      </c>
      <c r="AK504" s="83">
        <f t="shared" si="82"/>
        <v>2207.52</v>
      </c>
      <c r="AL504" s="104">
        <f t="shared" si="83"/>
        <v>116.32016632016632</v>
      </c>
      <c r="AM504" s="104">
        <f t="shared" si="84"/>
        <v>116.32016632016632</v>
      </c>
      <c r="AN504" s="83">
        <f t="shared" si="85"/>
        <v>171186.06237006237</v>
      </c>
      <c r="AO504" s="83">
        <f t="shared" si="86"/>
        <v>256779.09355509357</v>
      </c>
      <c r="AP504" s="182">
        <f t="shared" si="87"/>
        <v>584.11081085538456</v>
      </c>
      <c r="AQ504" s="182">
        <f t="shared" si="88"/>
        <v>876.16621628307689</v>
      </c>
      <c r="AR504" s="85"/>
      <c r="AS504" s="85"/>
      <c r="AT504" s="53"/>
      <c r="AU504" s="53"/>
      <c r="AV504" s="53"/>
      <c r="AW504" s="53"/>
      <c r="AX504" s="53"/>
      <c r="AY504" s="53"/>
      <c r="AZ504" s="53"/>
      <c r="BA504" s="53"/>
      <c r="BB504" s="53"/>
      <c r="BC504" s="111">
        <f t="shared" si="89"/>
        <v>171186.06237006237</v>
      </c>
      <c r="BD504" s="111">
        <f t="shared" si="90"/>
        <v>256779.09355509357</v>
      </c>
    </row>
    <row r="505" spans="1:56" ht="21" customHeight="1" x14ac:dyDescent="0.25">
      <c r="A505" s="53">
        <v>495</v>
      </c>
      <c r="B505" s="53"/>
      <c r="C505" s="53"/>
      <c r="D505" s="53" t="s">
        <v>135</v>
      </c>
      <c r="E505" s="53"/>
      <c r="F505" s="53"/>
      <c r="G505" s="53" t="s">
        <v>211</v>
      </c>
      <c r="H505" s="53" t="s">
        <v>239</v>
      </c>
      <c r="I505" s="85" t="s">
        <v>240</v>
      </c>
      <c r="J505" s="85" t="s">
        <v>241</v>
      </c>
      <c r="K505" s="85" t="s">
        <v>334</v>
      </c>
      <c r="L505" s="53" t="s">
        <v>216</v>
      </c>
      <c r="M505" s="53" t="s">
        <v>243</v>
      </c>
      <c r="N505" s="53"/>
      <c r="O505" s="85" t="s">
        <v>333</v>
      </c>
      <c r="P505" s="53">
        <v>1</v>
      </c>
      <c r="Q505" s="53">
        <v>200</v>
      </c>
      <c r="R505" s="84">
        <v>0.95</v>
      </c>
      <c r="S505" s="53"/>
      <c r="T505" s="53"/>
      <c r="U505" s="53">
        <v>3</v>
      </c>
      <c r="V505" s="53">
        <v>480</v>
      </c>
      <c r="W505" s="53"/>
      <c r="X505" s="53"/>
      <c r="Y505" s="53"/>
      <c r="Z505" s="53"/>
      <c r="AA505" s="53"/>
      <c r="AB505" s="53"/>
      <c r="AC505" s="137" t="s">
        <v>129</v>
      </c>
      <c r="AD505" s="138" t="s">
        <v>118</v>
      </c>
      <c r="AE505" s="83">
        <v>8760</v>
      </c>
      <c r="AF505" s="139">
        <v>1</v>
      </c>
      <c r="AG505" s="179">
        <v>0.42</v>
      </c>
      <c r="AH505" s="139">
        <v>0.25</v>
      </c>
      <c r="AI505" s="139">
        <v>0.25</v>
      </c>
      <c r="AJ505" s="83">
        <f t="shared" si="81"/>
        <v>1471.68</v>
      </c>
      <c r="AK505" s="83">
        <f t="shared" si="82"/>
        <v>2207.52</v>
      </c>
      <c r="AL505" s="104">
        <f t="shared" si="83"/>
        <v>39.263157894736842</v>
      </c>
      <c r="AM505" s="104">
        <f t="shared" si="84"/>
        <v>39.263157894736842</v>
      </c>
      <c r="AN505" s="83">
        <f t="shared" si="85"/>
        <v>57782.804210526316</v>
      </c>
      <c r="AO505" s="83">
        <f t="shared" si="86"/>
        <v>86674.206315789474</v>
      </c>
      <c r="AP505" s="83">
        <f t="shared" si="87"/>
        <v>197.16301755890524</v>
      </c>
      <c r="AQ505" s="83">
        <f t="shared" si="88"/>
        <v>295.74452633835784</v>
      </c>
      <c r="AR505" s="85"/>
      <c r="AS505" s="85"/>
      <c r="AT505" s="53"/>
      <c r="AU505" s="53"/>
      <c r="AV505" s="53"/>
      <c r="AW505" s="53"/>
      <c r="AX505" s="53"/>
      <c r="AY505" s="53"/>
      <c r="AZ505" s="53"/>
      <c r="BA505" s="53"/>
      <c r="BB505" s="53"/>
      <c r="BC505" s="111">
        <f t="shared" si="89"/>
        <v>57782.804210526316</v>
      </c>
      <c r="BD505" s="111">
        <f t="shared" si="90"/>
        <v>86674.206315789474</v>
      </c>
    </row>
    <row r="506" spans="1:56" ht="21" customHeight="1" x14ac:dyDescent="0.25">
      <c r="A506" s="53">
        <v>496</v>
      </c>
      <c r="B506" s="53"/>
      <c r="C506" s="53"/>
      <c r="D506" s="298" t="s">
        <v>135</v>
      </c>
      <c r="E506" s="298"/>
      <c r="F506" s="298"/>
      <c r="G506" s="298" t="s">
        <v>211</v>
      </c>
      <c r="H506" s="298" t="s">
        <v>239</v>
      </c>
      <c r="I506" s="299" t="s">
        <v>240</v>
      </c>
      <c r="J506" s="299" t="s">
        <v>241</v>
      </c>
      <c r="K506" s="299" t="s">
        <v>285</v>
      </c>
      <c r="L506" s="298" t="s">
        <v>216</v>
      </c>
      <c r="M506" s="298" t="s">
        <v>243</v>
      </c>
      <c r="N506" s="298"/>
      <c r="O506" s="299" t="s">
        <v>284</v>
      </c>
      <c r="P506" s="298">
        <v>1</v>
      </c>
      <c r="Q506" s="298">
        <v>200</v>
      </c>
      <c r="R506" s="84">
        <v>0.96199999999999997</v>
      </c>
      <c r="S506" s="53"/>
      <c r="T506" s="53"/>
      <c r="U506" s="53">
        <v>3</v>
      </c>
      <c r="V506" s="53">
        <v>480</v>
      </c>
      <c r="W506" s="53"/>
      <c r="X506" s="53"/>
      <c r="Y506" s="53"/>
      <c r="Z506" s="53"/>
      <c r="AA506" s="53"/>
      <c r="AB506" s="53"/>
      <c r="AC506" s="137" t="s">
        <v>129</v>
      </c>
      <c r="AD506" s="138" t="s">
        <v>118</v>
      </c>
      <c r="AE506" s="83">
        <v>8760</v>
      </c>
      <c r="AF506" s="139">
        <v>1</v>
      </c>
      <c r="AG506" s="179">
        <v>0.42</v>
      </c>
      <c r="AH506" s="139">
        <v>0.75</v>
      </c>
      <c r="AI506" s="139">
        <v>0.75</v>
      </c>
      <c r="AJ506" s="83">
        <f t="shared" si="81"/>
        <v>1471.68</v>
      </c>
      <c r="AK506" s="83">
        <f t="shared" si="82"/>
        <v>2207.52</v>
      </c>
      <c r="AL506" s="104">
        <f t="shared" si="83"/>
        <v>116.32016632016632</v>
      </c>
      <c r="AM506" s="104">
        <f t="shared" si="84"/>
        <v>116.32016632016632</v>
      </c>
      <c r="AN506" s="83">
        <f t="shared" si="85"/>
        <v>171186.06237006237</v>
      </c>
      <c r="AO506" s="83">
        <f t="shared" si="86"/>
        <v>256779.09355509357</v>
      </c>
      <c r="AP506" s="182">
        <f t="shared" si="87"/>
        <v>584.11081085538456</v>
      </c>
      <c r="AQ506" s="182">
        <f t="shared" si="88"/>
        <v>876.16621628307689</v>
      </c>
      <c r="AR506" s="85"/>
      <c r="AS506" s="85"/>
      <c r="AT506" s="53"/>
      <c r="AU506" s="53"/>
      <c r="AV506" s="53"/>
      <c r="AW506" s="53"/>
      <c r="AX506" s="53"/>
      <c r="AY506" s="53"/>
      <c r="AZ506" s="53"/>
      <c r="BA506" s="53"/>
      <c r="BB506" s="53"/>
      <c r="BC506" s="111">
        <f t="shared" si="89"/>
        <v>171186.06237006237</v>
      </c>
      <c r="BD506" s="111">
        <f t="shared" si="90"/>
        <v>256779.09355509357</v>
      </c>
    </row>
    <row r="507" spans="1:56" ht="21" customHeight="1" x14ac:dyDescent="0.25">
      <c r="A507" s="53">
        <v>497</v>
      </c>
      <c r="B507" s="53"/>
      <c r="C507" s="53"/>
      <c r="D507" s="53" t="s">
        <v>135</v>
      </c>
      <c r="E507" s="53"/>
      <c r="F507" s="53"/>
      <c r="G507" s="53" t="s">
        <v>211</v>
      </c>
      <c r="H507" s="53" t="s">
        <v>239</v>
      </c>
      <c r="I507" s="85" t="s">
        <v>240</v>
      </c>
      <c r="J507" s="85" t="s">
        <v>241</v>
      </c>
      <c r="K507" s="85" t="s">
        <v>332</v>
      </c>
      <c r="L507" s="53" t="s">
        <v>216</v>
      </c>
      <c r="M507" s="53" t="s">
        <v>243</v>
      </c>
      <c r="N507" s="53"/>
      <c r="O507" s="85" t="s">
        <v>333</v>
      </c>
      <c r="P507" s="53">
        <v>1</v>
      </c>
      <c r="Q507" s="53">
        <v>200</v>
      </c>
      <c r="R507" s="84">
        <v>0.95</v>
      </c>
      <c r="S507" s="53"/>
      <c r="T507" s="53"/>
      <c r="U507" s="53">
        <v>3</v>
      </c>
      <c r="V507" s="53">
        <v>480</v>
      </c>
      <c r="W507" s="53"/>
      <c r="X507" s="53"/>
      <c r="Y507" s="53"/>
      <c r="Z507" s="53"/>
      <c r="AA507" s="53"/>
      <c r="AB507" s="53"/>
      <c r="AC507" s="137" t="s">
        <v>129</v>
      </c>
      <c r="AD507" s="138" t="s">
        <v>118</v>
      </c>
      <c r="AE507" s="83">
        <v>8760</v>
      </c>
      <c r="AF507" s="139">
        <v>1</v>
      </c>
      <c r="AG507" s="179">
        <v>0.42</v>
      </c>
      <c r="AH507" s="139">
        <v>0.25</v>
      </c>
      <c r="AI507" s="139">
        <v>0.25</v>
      </c>
      <c r="AJ507" s="83">
        <f t="shared" si="81"/>
        <v>1471.68</v>
      </c>
      <c r="AK507" s="83">
        <f t="shared" si="82"/>
        <v>2207.52</v>
      </c>
      <c r="AL507" s="104">
        <f t="shared" si="83"/>
        <v>39.263157894736842</v>
      </c>
      <c r="AM507" s="104">
        <f t="shared" si="84"/>
        <v>39.263157894736842</v>
      </c>
      <c r="AN507" s="83">
        <f t="shared" si="85"/>
        <v>57782.804210526316</v>
      </c>
      <c r="AO507" s="83">
        <f t="shared" si="86"/>
        <v>86674.206315789474</v>
      </c>
      <c r="AP507" s="182">
        <f t="shared" si="87"/>
        <v>197.16301755890524</v>
      </c>
      <c r="AQ507" s="182">
        <f t="shared" si="88"/>
        <v>295.74452633835784</v>
      </c>
      <c r="AR507" s="85"/>
      <c r="AS507" s="85"/>
      <c r="AT507" s="53"/>
      <c r="AU507" s="53"/>
      <c r="AV507" s="53"/>
      <c r="AW507" s="53"/>
      <c r="AX507" s="53"/>
      <c r="AY507" s="53"/>
      <c r="AZ507" s="53"/>
      <c r="BA507" s="53"/>
      <c r="BB507" s="53"/>
      <c r="BC507" s="111">
        <f t="shared" si="89"/>
        <v>57782.804210526316</v>
      </c>
      <c r="BD507" s="111">
        <f t="shared" si="90"/>
        <v>86674.206315789474</v>
      </c>
    </row>
    <row r="508" spans="1:56" ht="21" customHeight="1" x14ac:dyDescent="0.25">
      <c r="A508" s="53">
        <v>498</v>
      </c>
      <c r="B508" s="53"/>
      <c r="C508" s="53"/>
      <c r="D508" s="53" t="s">
        <v>135</v>
      </c>
      <c r="E508" s="53"/>
      <c r="F508" s="53"/>
      <c r="G508" s="53" t="s">
        <v>211</v>
      </c>
      <c r="H508" s="53" t="s">
        <v>239</v>
      </c>
      <c r="I508" s="85" t="s">
        <v>240</v>
      </c>
      <c r="J508" s="85" t="s">
        <v>241</v>
      </c>
      <c r="K508" s="85" t="s">
        <v>313</v>
      </c>
      <c r="L508" s="53" t="s">
        <v>216</v>
      </c>
      <c r="M508" s="53" t="s">
        <v>243</v>
      </c>
      <c r="N508" s="53"/>
      <c r="O508" s="85" t="s">
        <v>314</v>
      </c>
      <c r="P508" s="53">
        <v>1</v>
      </c>
      <c r="Q508" s="53">
        <v>100</v>
      </c>
      <c r="R508" s="84">
        <v>0.94499999999999995</v>
      </c>
      <c r="S508" s="53"/>
      <c r="T508" s="53"/>
      <c r="U508" s="53">
        <v>3</v>
      </c>
      <c r="V508" s="53">
        <v>480</v>
      </c>
      <c r="W508" s="53"/>
      <c r="X508" s="53"/>
      <c r="Y508" s="53"/>
      <c r="Z508" s="53"/>
      <c r="AA508" s="53"/>
      <c r="AB508" s="53"/>
      <c r="AC508" s="137" t="s">
        <v>129</v>
      </c>
      <c r="AD508" s="138" t="s">
        <v>118</v>
      </c>
      <c r="AE508" s="83">
        <v>8760</v>
      </c>
      <c r="AF508" s="139">
        <v>1</v>
      </c>
      <c r="AG508" s="179">
        <v>0.42</v>
      </c>
      <c r="AH508" s="139">
        <v>0.8</v>
      </c>
      <c r="AI508" s="139">
        <v>0.8</v>
      </c>
      <c r="AJ508" s="83">
        <f t="shared" si="81"/>
        <v>1471.68</v>
      </c>
      <c r="AK508" s="83">
        <f t="shared" si="82"/>
        <v>2207.52</v>
      </c>
      <c r="AL508" s="104">
        <f t="shared" si="83"/>
        <v>63.153439153439152</v>
      </c>
      <c r="AM508" s="104">
        <f t="shared" si="84"/>
        <v>63.153439153439152</v>
      </c>
      <c r="AN508" s="83">
        <f t="shared" si="85"/>
        <v>92941.653333333335</v>
      </c>
      <c r="AO508" s="83">
        <f t="shared" si="86"/>
        <v>139412.47999999998</v>
      </c>
      <c r="AP508" s="83">
        <f t="shared" si="87"/>
        <v>317.12993300480002</v>
      </c>
      <c r="AQ508" s="83">
        <f t="shared" si="88"/>
        <v>475.69489950719992</v>
      </c>
      <c r="AR508" s="85"/>
      <c r="AS508" s="85"/>
      <c r="AT508" s="53"/>
      <c r="AU508" s="53"/>
      <c r="AV508" s="53"/>
      <c r="AW508" s="53"/>
      <c r="AX508" s="53"/>
      <c r="AY508" s="53"/>
      <c r="AZ508" s="53"/>
      <c r="BA508" s="53"/>
      <c r="BB508" s="53"/>
      <c r="BC508" s="111">
        <f t="shared" si="89"/>
        <v>92941.653333333335</v>
      </c>
      <c r="BD508" s="111">
        <f t="shared" si="90"/>
        <v>139412.47999999998</v>
      </c>
    </row>
    <row r="509" spans="1:56" ht="21" customHeight="1" x14ac:dyDescent="0.25">
      <c r="A509" s="53">
        <v>499</v>
      </c>
      <c r="B509" s="53"/>
      <c r="C509" s="53"/>
      <c r="D509" s="53" t="s">
        <v>135</v>
      </c>
      <c r="E509" s="53"/>
      <c r="F509" s="53"/>
      <c r="G509" s="53" t="s">
        <v>211</v>
      </c>
      <c r="H509" s="53" t="s">
        <v>239</v>
      </c>
      <c r="I509" s="85" t="s">
        <v>240</v>
      </c>
      <c r="J509" s="85" t="s">
        <v>241</v>
      </c>
      <c r="K509" s="85" t="s">
        <v>469</v>
      </c>
      <c r="L509" s="53" t="s">
        <v>216</v>
      </c>
      <c r="M509" s="53" t="s">
        <v>243</v>
      </c>
      <c r="N509" s="53"/>
      <c r="O509" s="85" t="s">
        <v>470</v>
      </c>
      <c r="P509" s="53">
        <v>1</v>
      </c>
      <c r="Q509" s="53">
        <v>100</v>
      </c>
      <c r="R509" s="84">
        <v>0.94499999999999995</v>
      </c>
      <c r="S509" s="53"/>
      <c r="T509" s="53"/>
      <c r="U509" s="53">
        <v>3</v>
      </c>
      <c r="V509" s="53">
        <v>480</v>
      </c>
      <c r="W509" s="53"/>
      <c r="X509" s="53"/>
      <c r="Y509" s="53"/>
      <c r="Z509" s="53"/>
      <c r="AA509" s="53"/>
      <c r="AB509" s="53"/>
      <c r="AC509" s="137" t="s">
        <v>129</v>
      </c>
      <c r="AD509" s="138" t="s">
        <v>118</v>
      </c>
      <c r="AE509" s="83">
        <v>8760</v>
      </c>
      <c r="AF509" s="139">
        <v>1</v>
      </c>
      <c r="AG509" s="179">
        <v>0.42</v>
      </c>
      <c r="AH509" s="139">
        <v>0.25</v>
      </c>
      <c r="AI509" s="139">
        <v>0.25</v>
      </c>
      <c r="AJ509" s="83">
        <f t="shared" si="81"/>
        <v>1471.68</v>
      </c>
      <c r="AK509" s="83">
        <f t="shared" si="82"/>
        <v>2207.52</v>
      </c>
      <c r="AL509" s="104">
        <f t="shared" si="83"/>
        <v>19.735449735449734</v>
      </c>
      <c r="AM509" s="104">
        <f t="shared" si="84"/>
        <v>19.735449735449734</v>
      </c>
      <c r="AN509" s="83">
        <f t="shared" si="85"/>
        <v>29044.266666666666</v>
      </c>
      <c r="AO509" s="83">
        <f t="shared" si="86"/>
        <v>43566.399999999994</v>
      </c>
      <c r="AP509" s="182">
        <f t="shared" si="87"/>
        <v>99.103104063999993</v>
      </c>
      <c r="AQ509" s="182">
        <f t="shared" si="88"/>
        <v>148.654656096</v>
      </c>
      <c r="AR509" s="85"/>
      <c r="AS509" s="85"/>
      <c r="AT509" s="53"/>
      <c r="AU509" s="53"/>
      <c r="AV509" s="53"/>
      <c r="AW509" s="53"/>
      <c r="AX509" s="53"/>
      <c r="AY509" s="53"/>
      <c r="AZ509" s="53"/>
      <c r="BA509" s="53"/>
      <c r="BB509" s="53"/>
      <c r="BC509" s="111">
        <f t="shared" si="89"/>
        <v>29044.266666666666</v>
      </c>
      <c r="BD509" s="111">
        <f t="shared" si="90"/>
        <v>43566.399999999994</v>
      </c>
    </row>
    <row r="510" spans="1:56" ht="21" customHeight="1" x14ac:dyDescent="0.25">
      <c r="A510" s="53">
        <v>500</v>
      </c>
      <c r="B510" s="53"/>
      <c r="C510" s="53"/>
      <c r="D510" s="53" t="s">
        <v>135</v>
      </c>
      <c r="E510" s="53"/>
      <c r="F510" s="53"/>
      <c r="G510" s="53" t="s">
        <v>211</v>
      </c>
      <c r="H510" s="53" t="s">
        <v>239</v>
      </c>
      <c r="I510" s="85" t="s">
        <v>240</v>
      </c>
      <c r="J510" s="85" t="s">
        <v>241</v>
      </c>
      <c r="K510" s="85" t="s">
        <v>478</v>
      </c>
      <c r="L510" s="53" t="s">
        <v>216</v>
      </c>
      <c r="M510" s="53" t="s">
        <v>479</v>
      </c>
      <c r="N510" s="53"/>
      <c r="O510" s="85" t="s">
        <v>483</v>
      </c>
      <c r="P510" s="53">
        <v>1</v>
      </c>
      <c r="Q510" s="53">
        <v>18</v>
      </c>
      <c r="R510" s="84">
        <v>0.91</v>
      </c>
      <c r="S510" s="53"/>
      <c r="T510" s="53"/>
      <c r="U510" s="53">
        <v>3</v>
      </c>
      <c r="V510" s="53">
        <v>480</v>
      </c>
      <c r="W510" s="53"/>
      <c r="X510" s="53"/>
      <c r="Y510" s="53"/>
      <c r="Z510" s="53"/>
      <c r="AA510" s="53"/>
      <c r="AB510" s="53"/>
      <c r="AC510" s="137" t="s">
        <v>129</v>
      </c>
      <c r="AD510" s="138" t="s">
        <v>118</v>
      </c>
      <c r="AE510" s="83">
        <v>8760</v>
      </c>
      <c r="AF510" s="139">
        <v>1</v>
      </c>
      <c r="AG510" s="179">
        <v>0.42</v>
      </c>
      <c r="AH510" s="139">
        <v>1</v>
      </c>
      <c r="AI510" s="139">
        <v>1</v>
      </c>
      <c r="AJ510" s="83">
        <f t="shared" si="81"/>
        <v>1471.68</v>
      </c>
      <c r="AK510" s="83">
        <f t="shared" si="82"/>
        <v>2207.52</v>
      </c>
      <c r="AL510" s="104">
        <f t="shared" si="83"/>
        <v>14.756043956043957</v>
      </c>
      <c r="AM510" s="104">
        <f t="shared" si="84"/>
        <v>14.756043956043957</v>
      </c>
      <c r="AN510" s="83">
        <f t="shared" si="85"/>
        <v>21716.174769230773</v>
      </c>
      <c r="AO510" s="83">
        <f t="shared" si="86"/>
        <v>32574.262153846157</v>
      </c>
      <c r="AP510" s="182">
        <f t="shared" si="87"/>
        <v>74.098628577083076</v>
      </c>
      <c r="AQ510" s="182">
        <f t="shared" si="88"/>
        <v>111.14794286562463</v>
      </c>
      <c r="AR510" s="85"/>
      <c r="AS510" s="85"/>
      <c r="AT510" s="53"/>
      <c r="AU510" s="53"/>
      <c r="AV510" s="53"/>
      <c r="AW510" s="53"/>
      <c r="AX510" s="53"/>
      <c r="AY510" s="53"/>
      <c r="AZ510" s="53"/>
      <c r="BA510" s="53"/>
      <c r="BB510" s="53"/>
      <c r="BC510" s="111">
        <f t="shared" si="89"/>
        <v>21716.174769230773</v>
      </c>
      <c r="BD510" s="111">
        <f t="shared" si="90"/>
        <v>32574.262153846157</v>
      </c>
    </row>
    <row r="511" spans="1:56" ht="21" customHeight="1" x14ac:dyDescent="0.25">
      <c r="A511" s="53">
        <v>501</v>
      </c>
      <c r="B511" s="53"/>
      <c r="C511" s="53"/>
      <c r="D511" s="53" t="s">
        <v>135</v>
      </c>
      <c r="E511" s="53"/>
      <c r="F511" s="53"/>
      <c r="G511" s="53" t="s">
        <v>211</v>
      </c>
      <c r="H511" s="53" t="s">
        <v>239</v>
      </c>
      <c r="I511" s="85" t="s">
        <v>240</v>
      </c>
      <c r="J511" s="85" t="s">
        <v>241</v>
      </c>
      <c r="K511" s="85" t="s">
        <v>478</v>
      </c>
      <c r="L511" s="53" t="s">
        <v>216</v>
      </c>
      <c r="M511" s="53" t="s">
        <v>479</v>
      </c>
      <c r="N511" s="53"/>
      <c r="O511" s="85" t="s">
        <v>480</v>
      </c>
      <c r="P511" s="53">
        <v>1</v>
      </c>
      <c r="Q511" s="53">
        <v>21</v>
      </c>
      <c r="R511" s="84">
        <v>0.91</v>
      </c>
      <c r="S511" s="53"/>
      <c r="T511" s="53"/>
      <c r="U511" s="53">
        <v>3</v>
      </c>
      <c r="V511" s="53">
        <v>480</v>
      </c>
      <c r="W511" s="53"/>
      <c r="X511" s="53"/>
      <c r="Y511" s="53"/>
      <c r="Z511" s="53"/>
      <c r="AA511" s="53"/>
      <c r="AB511" s="53"/>
      <c r="AC511" s="137" t="s">
        <v>129</v>
      </c>
      <c r="AD511" s="138" t="s">
        <v>118</v>
      </c>
      <c r="AE511" s="83">
        <v>8760</v>
      </c>
      <c r="AF511" s="139">
        <v>1</v>
      </c>
      <c r="AG511" s="179">
        <v>0.42</v>
      </c>
      <c r="AH511" s="139">
        <v>1</v>
      </c>
      <c r="AI511" s="139">
        <v>1</v>
      </c>
      <c r="AJ511" s="83">
        <f t="shared" si="81"/>
        <v>1471.68</v>
      </c>
      <c r="AK511" s="83">
        <f t="shared" si="82"/>
        <v>2207.52</v>
      </c>
      <c r="AL511" s="104">
        <f t="shared" si="83"/>
        <v>17.215384615384615</v>
      </c>
      <c r="AM511" s="104">
        <f t="shared" si="84"/>
        <v>17.215384615384615</v>
      </c>
      <c r="AN511" s="83">
        <f t="shared" si="85"/>
        <v>25335.537230769231</v>
      </c>
      <c r="AO511" s="83">
        <f t="shared" si="86"/>
        <v>38003.305846153846</v>
      </c>
      <c r="AP511" s="83">
        <f t="shared" si="87"/>
        <v>86.448400006596927</v>
      </c>
      <c r="AQ511" s="83">
        <f t="shared" si="88"/>
        <v>129.67260000989538</v>
      </c>
      <c r="AR511" s="85"/>
      <c r="AS511" s="85"/>
      <c r="AT511" s="53"/>
      <c r="AU511" s="53"/>
      <c r="AV511" s="53"/>
      <c r="AW511" s="53"/>
      <c r="AX511" s="53"/>
      <c r="AY511" s="53"/>
      <c r="AZ511" s="53"/>
      <c r="BA511" s="53"/>
      <c r="BB511" s="53"/>
      <c r="BC511" s="111">
        <f t="shared" si="89"/>
        <v>25335.537230769231</v>
      </c>
      <c r="BD511" s="111">
        <f t="shared" si="90"/>
        <v>38003.305846153846</v>
      </c>
    </row>
    <row r="512" spans="1:56" ht="21" customHeight="1" x14ac:dyDescent="0.25">
      <c r="A512" s="53">
        <v>502</v>
      </c>
      <c r="B512" s="53"/>
      <c r="C512" s="53"/>
      <c r="D512" s="53" t="s">
        <v>135</v>
      </c>
      <c r="E512" s="53"/>
      <c r="F512" s="53"/>
      <c r="G512" s="53" t="s">
        <v>226</v>
      </c>
      <c r="H512" s="53" t="s">
        <v>227</v>
      </c>
      <c r="I512" s="85" t="s">
        <v>228</v>
      </c>
      <c r="J512" s="85" t="s">
        <v>228</v>
      </c>
      <c r="K512" s="85" t="s">
        <v>229</v>
      </c>
      <c r="L512" s="53" t="s">
        <v>230</v>
      </c>
      <c r="M512" s="53" t="s">
        <v>231</v>
      </c>
      <c r="N512" s="53"/>
      <c r="O512" s="85" t="s">
        <v>232</v>
      </c>
      <c r="P512" s="53">
        <v>187</v>
      </c>
      <c r="Q512" s="282">
        <v>0</v>
      </c>
      <c r="R512" s="84"/>
      <c r="S512" s="53"/>
      <c r="T512" s="53"/>
      <c r="U512" s="53">
        <v>1</v>
      </c>
      <c r="V512" s="53">
        <v>277</v>
      </c>
      <c r="W512" s="53"/>
      <c r="X512" s="53"/>
      <c r="Y512" s="53"/>
      <c r="Z512" s="53"/>
      <c r="AA512" s="53"/>
      <c r="AB512" s="53"/>
      <c r="AC512" s="137" t="s">
        <v>117</v>
      </c>
      <c r="AD512" s="138" t="s">
        <v>118</v>
      </c>
      <c r="AE512" s="83">
        <v>8760</v>
      </c>
      <c r="AF512" s="179">
        <v>0.75</v>
      </c>
      <c r="AG512" s="179">
        <v>0.9</v>
      </c>
      <c r="AH512" s="179">
        <v>0.1</v>
      </c>
      <c r="AI512" s="179">
        <v>0.5</v>
      </c>
      <c r="AJ512" s="83">
        <f t="shared" si="81"/>
        <v>3153.6000000000004</v>
      </c>
      <c r="AK512" s="83">
        <f t="shared" si="82"/>
        <v>4730.3999999999996</v>
      </c>
      <c r="AL512" s="104">
        <f t="shared" si="83"/>
        <v>106.59000000000002</v>
      </c>
      <c r="AM512" s="104">
        <f t="shared" si="84"/>
        <v>532.95000000000005</v>
      </c>
      <c r="AN512" s="83">
        <f t="shared" si="85"/>
        <v>336142.2240000001</v>
      </c>
      <c r="AO512" s="83">
        <f t="shared" si="86"/>
        <v>2521066.6800000002</v>
      </c>
      <c r="AP512" s="182">
        <f t="shared" si="87"/>
        <v>1146.9643281993604</v>
      </c>
      <c r="AQ512" s="182">
        <f t="shared" si="88"/>
        <v>8602.2324614952013</v>
      </c>
      <c r="AR512" s="85"/>
      <c r="AS512" s="85"/>
      <c r="AT512" s="53">
        <f>P512</f>
        <v>187</v>
      </c>
      <c r="AU512" s="53">
        <v>7.6</v>
      </c>
      <c r="AV512" s="53">
        <f>AU512*AT512</f>
        <v>1421.2</v>
      </c>
      <c r="AW512" s="53"/>
      <c r="AX512" s="53"/>
      <c r="AY512" s="53"/>
      <c r="AZ512" s="53"/>
      <c r="BA512" s="53"/>
      <c r="BB512" s="53"/>
      <c r="BC512" s="111">
        <f t="shared" si="89"/>
        <v>336142.2240000001</v>
      </c>
      <c r="BD512" s="111">
        <f t="shared" si="90"/>
        <v>2521066.6800000002</v>
      </c>
    </row>
    <row r="513" spans="1:56" ht="21" customHeight="1" x14ac:dyDescent="0.25">
      <c r="A513" s="53">
        <v>503</v>
      </c>
      <c r="B513" s="53"/>
      <c r="C513" s="53"/>
      <c r="D513" s="53" t="s">
        <v>135</v>
      </c>
      <c r="E513" s="53"/>
      <c r="F513" s="53"/>
      <c r="G513" s="53" t="s">
        <v>226</v>
      </c>
      <c r="H513" s="53" t="s">
        <v>227</v>
      </c>
      <c r="I513" s="85" t="s">
        <v>228</v>
      </c>
      <c r="J513" s="85" t="s">
        <v>228</v>
      </c>
      <c r="K513" s="85" t="s">
        <v>229</v>
      </c>
      <c r="L513" s="53" t="s">
        <v>230</v>
      </c>
      <c r="M513" s="53" t="s">
        <v>231</v>
      </c>
      <c r="N513" s="53"/>
      <c r="O513" s="85" t="s">
        <v>370</v>
      </c>
      <c r="P513" s="53">
        <v>20</v>
      </c>
      <c r="Q513" s="282">
        <v>0</v>
      </c>
      <c r="R513" s="84"/>
      <c r="S513" s="53"/>
      <c r="T513" s="53"/>
      <c r="U513" s="53">
        <v>1</v>
      </c>
      <c r="V513" s="53">
        <v>277</v>
      </c>
      <c r="W513" s="53"/>
      <c r="X513" s="53"/>
      <c r="Y513" s="53"/>
      <c r="Z513" s="53"/>
      <c r="AA513" s="53"/>
      <c r="AB513" s="53"/>
      <c r="AC513" s="137" t="s">
        <v>117</v>
      </c>
      <c r="AD513" s="138" t="s">
        <v>118</v>
      </c>
      <c r="AE513" s="83">
        <v>8760</v>
      </c>
      <c r="AF513" s="139">
        <v>1</v>
      </c>
      <c r="AG513" s="179">
        <v>8.5620000000000002E-2</v>
      </c>
      <c r="AH513" s="139">
        <v>1</v>
      </c>
      <c r="AI513" s="139">
        <v>1</v>
      </c>
      <c r="AJ513" s="83">
        <f t="shared" si="81"/>
        <v>300.01248000000004</v>
      </c>
      <c r="AK513" s="83">
        <f t="shared" si="82"/>
        <v>450.01871999999997</v>
      </c>
      <c r="AL513" s="104">
        <f t="shared" si="83"/>
        <v>152</v>
      </c>
      <c r="AM513" s="104">
        <f t="shared" si="84"/>
        <v>152</v>
      </c>
      <c r="AN513" s="83">
        <f t="shared" si="85"/>
        <v>45601.896960000005</v>
      </c>
      <c r="AO513" s="83">
        <f t="shared" si="86"/>
        <v>68402.84543999999</v>
      </c>
      <c r="AP513" s="182">
        <f t="shared" si="87"/>
        <v>155.60005669309442</v>
      </c>
      <c r="AQ513" s="182">
        <f t="shared" si="88"/>
        <v>233.40008503964157</v>
      </c>
      <c r="AR513" s="85"/>
      <c r="AS513" s="85"/>
      <c r="AT513" s="53">
        <f>P513</f>
        <v>20</v>
      </c>
      <c r="AU513" s="53">
        <v>7.6</v>
      </c>
      <c r="AV513" s="53">
        <f>AU513*AT513</f>
        <v>152</v>
      </c>
      <c r="AW513" s="53"/>
      <c r="AX513" s="53"/>
      <c r="AY513" s="53"/>
      <c r="AZ513" s="53"/>
      <c r="BA513" s="53"/>
      <c r="BB513" s="53"/>
      <c r="BC513" s="111">
        <f t="shared" si="89"/>
        <v>45601.896960000005</v>
      </c>
      <c r="BD513" s="111">
        <f t="shared" si="90"/>
        <v>68402.84543999999</v>
      </c>
    </row>
    <row r="514" spans="1:56" ht="21" customHeight="1" x14ac:dyDescent="0.25">
      <c r="A514" s="53">
        <v>504</v>
      </c>
      <c r="B514" s="53"/>
      <c r="C514" s="53"/>
      <c r="D514" s="298" t="s">
        <v>135</v>
      </c>
      <c r="E514" s="298"/>
      <c r="F514" s="298"/>
      <c r="G514" s="298" t="s">
        <v>211</v>
      </c>
      <c r="H514" s="298" t="s">
        <v>256</v>
      </c>
      <c r="I514" s="299" t="s">
        <v>278</v>
      </c>
      <c r="J514" s="299" t="s">
        <v>278</v>
      </c>
      <c r="K514" s="299" t="s">
        <v>258</v>
      </c>
      <c r="L514" s="298" t="s">
        <v>259</v>
      </c>
      <c r="M514" s="298" t="s">
        <v>260</v>
      </c>
      <c r="N514" s="298"/>
      <c r="O514" s="299" t="s">
        <v>261</v>
      </c>
      <c r="P514" s="300">
        <v>1652</v>
      </c>
      <c r="Q514" s="183">
        <v>0</v>
      </c>
      <c r="R514" s="84"/>
      <c r="S514" s="53"/>
      <c r="T514" s="53"/>
      <c r="U514" s="53">
        <v>1</v>
      </c>
      <c r="V514" s="53">
        <v>277</v>
      </c>
      <c r="W514" s="53"/>
      <c r="X514" s="53"/>
      <c r="Y514" s="53"/>
      <c r="Z514" s="53"/>
      <c r="AA514" s="53"/>
      <c r="AB514" s="53"/>
      <c r="AC514" s="137" t="s">
        <v>124</v>
      </c>
      <c r="AD514" s="138" t="s">
        <v>118</v>
      </c>
      <c r="AE514" s="83">
        <v>8760</v>
      </c>
      <c r="AF514" s="139"/>
      <c r="AG514" s="297"/>
      <c r="AH514" s="139"/>
      <c r="AI514" s="139"/>
      <c r="AJ514" s="83"/>
      <c r="AK514" s="83"/>
      <c r="AL514" s="104"/>
      <c r="AM514" s="104"/>
      <c r="AN514" s="302">
        <v>226283.56799999997</v>
      </c>
      <c r="AO514" s="302">
        <v>339425.35199999996</v>
      </c>
      <c r="AP514" s="303">
        <f t="shared" si="87"/>
        <v>772.11121371551985</v>
      </c>
      <c r="AQ514" s="303">
        <f t="shared" si="88"/>
        <v>1158.1668205732799</v>
      </c>
      <c r="AR514" s="85"/>
      <c r="AS514" s="85"/>
      <c r="AT514" s="53"/>
      <c r="AU514" s="53"/>
      <c r="AV514" s="289"/>
      <c r="AW514" s="53"/>
      <c r="AX514" s="53"/>
      <c r="AY514" s="53"/>
      <c r="AZ514" s="53"/>
      <c r="BA514" s="53"/>
      <c r="BB514" s="53"/>
      <c r="BC514" s="301">
        <f t="shared" si="89"/>
        <v>226283.56799999997</v>
      </c>
      <c r="BD514" s="301">
        <f t="shared" si="90"/>
        <v>339425.35199999996</v>
      </c>
    </row>
    <row r="515" spans="1:56" ht="21" customHeight="1" x14ac:dyDescent="0.25">
      <c r="A515" s="53">
        <v>505</v>
      </c>
      <c r="B515" s="53"/>
      <c r="C515" s="53"/>
      <c r="D515" s="298" t="s">
        <v>135</v>
      </c>
      <c r="E515" s="298"/>
      <c r="F515" s="298"/>
      <c r="G515" s="298" t="s">
        <v>211</v>
      </c>
      <c r="H515" s="298" t="s">
        <v>256</v>
      </c>
      <c r="I515" s="299" t="s">
        <v>267</v>
      </c>
      <c r="J515" s="299" t="s">
        <v>267</v>
      </c>
      <c r="K515" s="299" t="s">
        <v>258</v>
      </c>
      <c r="L515" s="298" t="s">
        <v>259</v>
      </c>
      <c r="M515" s="298" t="s">
        <v>260</v>
      </c>
      <c r="N515" s="298"/>
      <c r="O515" s="299" t="s">
        <v>261</v>
      </c>
      <c r="P515" s="300">
        <v>1616</v>
      </c>
      <c r="Q515" s="183">
        <v>0</v>
      </c>
      <c r="R515" s="84"/>
      <c r="S515" s="53"/>
      <c r="T515" s="53"/>
      <c r="U515" s="53">
        <v>1</v>
      </c>
      <c r="V515" s="53">
        <v>277</v>
      </c>
      <c r="W515" s="53"/>
      <c r="X515" s="53"/>
      <c r="Y515" s="53"/>
      <c r="Z515" s="53"/>
      <c r="AA515" s="53"/>
      <c r="AB515" s="53"/>
      <c r="AC515" s="137" t="s">
        <v>124</v>
      </c>
      <c r="AD515" s="138" t="s">
        <v>118</v>
      </c>
      <c r="AE515" s="83">
        <v>8760</v>
      </c>
      <c r="AF515" s="139"/>
      <c r="AG515" s="297"/>
      <c r="AH515" s="139"/>
      <c r="AI515" s="139"/>
      <c r="AJ515" s="83"/>
      <c r="AK515" s="83"/>
      <c r="AL515" s="104"/>
      <c r="AM515" s="104"/>
      <c r="AN515" s="302">
        <v>280386.03600000002</v>
      </c>
      <c r="AO515" s="302">
        <v>420579.05399999995</v>
      </c>
      <c r="AP515" s="303">
        <f t="shared" si="87"/>
        <v>956.71640887704007</v>
      </c>
      <c r="AQ515" s="303">
        <f t="shared" si="88"/>
        <v>1435.0746133155599</v>
      </c>
      <c r="AR515" s="85"/>
      <c r="AS515" s="85"/>
      <c r="AT515" s="53"/>
      <c r="AU515" s="53"/>
      <c r="AV515" s="289"/>
      <c r="AW515" s="53"/>
      <c r="AX515" s="53"/>
      <c r="AY515" s="53"/>
      <c r="AZ515" s="53"/>
      <c r="BA515" s="53"/>
      <c r="BB515" s="53"/>
      <c r="BC515" s="301">
        <f t="shared" si="89"/>
        <v>280386.03600000002</v>
      </c>
      <c r="BD515" s="301">
        <f t="shared" si="90"/>
        <v>420579.05399999995</v>
      </c>
    </row>
    <row r="516" spans="1:56" ht="21" customHeight="1" x14ac:dyDescent="0.25">
      <c r="A516" s="53">
        <v>506</v>
      </c>
      <c r="B516" s="53"/>
      <c r="C516" s="53"/>
      <c r="D516" s="298" t="s">
        <v>135</v>
      </c>
      <c r="E516" s="298"/>
      <c r="F516" s="298"/>
      <c r="G516" s="298" t="s">
        <v>211</v>
      </c>
      <c r="H516" s="298" t="s">
        <v>256</v>
      </c>
      <c r="I516" s="299" t="s">
        <v>714</v>
      </c>
      <c r="J516" s="299" t="s">
        <v>714</v>
      </c>
      <c r="K516" s="299" t="s">
        <v>258</v>
      </c>
      <c r="L516" s="298" t="s">
        <v>259</v>
      </c>
      <c r="M516" s="298" t="s">
        <v>260</v>
      </c>
      <c r="N516" s="298"/>
      <c r="O516" s="299" t="s">
        <v>261</v>
      </c>
      <c r="P516" s="300">
        <v>146</v>
      </c>
      <c r="Q516" s="183">
        <v>0</v>
      </c>
      <c r="R516" s="84"/>
      <c r="S516" s="53"/>
      <c r="T516" s="53"/>
      <c r="U516" s="53">
        <v>1</v>
      </c>
      <c r="V516" s="53">
        <v>277</v>
      </c>
      <c r="W516" s="53"/>
      <c r="X516" s="53"/>
      <c r="Y516" s="53"/>
      <c r="Z516" s="53"/>
      <c r="AA516" s="53"/>
      <c r="AB516" s="53"/>
      <c r="AC516" s="137" t="s">
        <v>124</v>
      </c>
      <c r="AD516" s="138" t="s">
        <v>118</v>
      </c>
      <c r="AE516" s="83">
        <v>8760</v>
      </c>
      <c r="AF516" s="139"/>
      <c r="AG516" s="297"/>
      <c r="AH516" s="139"/>
      <c r="AI516" s="139"/>
      <c r="AJ516" s="83"/>
      <c r="AK516" s="83"/>
      <c r="AL516" s="104"/>
      <c r="AM516" s="104"/>
      <c r="AN516" s="302">
        <v>5692.6239999999998</v>
      </c>
      <c r="AO516" s="302">
        <v>8538.9359999999997</v>
      </c>
      <c r="AP516" s="303">
        <f t="shared" si="87"/>
        <v>19.424030055359996</v>
      </c>
      <c r="AQ516" s="303">
        <f t="shared" si="88"/>
        <v>29.136045083039999</v>
      </c>
      <c r="AR516" s="85"/>
      <c r="AS516" s="85"/>
      <c r="AT516" s="53"/>
      <c r="AU516" s="53"/>
      <c r="AV516" s="289"/>
      <c r="AW516" s="53"/>
      <c r="AX516" s="53"/>
      <c r="AY516" s="53"/>
      <c r="AZ516" s="53"/>
      <c r="BA516" s="53"/>
      <c r="BB516" s="53"/>
      <c r="BC516" s="301">
        <f t="shared" si="89"/>
        <v>5692.6239999999998</v>
      </c>
      <c r="BD516" s="301">
        <f t="shared" si="90"/>
        <v>8538.9359999999997</v>
      </c>
    </row>
    <row r="517" spans="1:56" ht="21" customHeight="1" x14ac:dyDescent="0.25">
      <c r="A517" s="53">
        <v>507</v>
      </c>
      <c r="B517" s="53"/>
      <c r="C517" s="53"/>
      <c r="D517" s="298" t="s">
        <v>135</v>
      </c>
      <c r="E517" s="298"/>
      <c r="F517" s="298"/>
      <c r="G517" s="298" t="s">
        <v>211</v>
      </c>
      <c r="H517" s="298" t="s">
        <v>256</v>
      </c>
      <c r="I517" s="299" t="s">
        <v>257</v>
      </c>
      <c r="J517" s="299" t="s">
        <v>257</v>
      </c>
      <c r="K517" s="299" t="s">
        <v>258</v>
      </c>
      <c r="L517" s="298" t="s">
        <v>259</v>
      </c>
      <c r="M517" s="298" t="s">
        <v>260</v>
      </c>
      <c r="N517" s="298"/>
      <c r="O517" s="299" t="s">
        <v>261</v>
      </c>
      <c r="P517" s="300">
        <v>1497</v>
      </c>
      <c r="Q517" s="183">
        <v>0</v>
      </c>
      <c r="R517" s="84"/>
      <c r="S517" s="53"/>
      <c r="T517" s="53"/>
      <c r="U517" s="53">
        <v>1</v>
      </c>
      <c r="V517" s="53">
        <v>277</v>
      </c>
      <c r="W517" s="53"/>
      <c r="X517" s="53"/>
      <c r="Y517" s="53"/>
      <c r="Z517" s="53"/>
      <c r="AA517" s="53"/>
      <c r="AB517" s="53"/>
      <c r="AC517" s="137" t="s">
        <v>124</v>
      </c>
      <c r="AD517" s="138" t="s">
        <v>118</v>
      </c>
      <c r="AE517" s="83">
        <v>8760</v>
      </c>
      <c r="AF517" s="139"/>
      <c r="AG517" s="297"/>
      <c r="AH517" s="139"/>
      <c r="AI517" s="139"/>
      <c r="AJ517" s="83"/>
      <c r="AK517" s="83"/>
      <c r="AL517" s="104"/>
      <c r="AM517" s="104"/>
      <c r="AN517" s="302">
        <v>345958.03200000001</v>
      </c>
      <c r="AO517" s="302">
        <v>518937.04799999995</v>
      </c>
      <c r="AP517" s="303">
        <f t="shared" si="87"/>
        <v>1180.45723930848</v>
      </c>
      <c r="AQ517" s="303">
        <f t="shared" si="88"/>
        <v>1770.6858589627197</v>
      </c>
      <c r="AR517" s="85"/>
      <c r="AS517" s="85"/>
      <c r="AT517" s="53"/>
      <c r="AU517" s="53"/>
      <c r="AV517" s="289"/>
      <c r="AW517" s="53"/>
      <c r="AX517" s="53"/>
      <c r="AY517" s="53"/>
      <c r="AZ517" s="53"/>
      <c r="BA517" s="53"/>
      <c r="BB517" s="53"/>
      <c r="BC517" s="301">
        <f t="shared" si="89"/>
        <v>345958.03200000001</v>
      </c>
      <c r="BD517" s="301">
        <f t="shared" si="90"/>
        <v>518937.04799999995</v>
      </c>
    </row>
    <row r="518" spans="1:56" ht="15.75" x14ac:dyDescent="0.25">
      <c r="A518" s="53">
        <v>508</v>
      </c>
      <c r="B518" s="53"/>
      <c r="C518" s="53"/>
      <c r="D518" s="298" t="s">
        <v>135</v>
      </c>
      <c r="E518" s="298"/>
      <c r="F518" s="298"/>
      <c r="G518" s="298" t="s">
        <v>211</v>
      </c>
      <c r="H518" s="298" t="s">
        <v>256</v>
      </c>
      <c r="I518" s="299" t="s">
        <v>476</v>
      </c>
      <c r="J518" s="299" t="s">
        <v>476</v>
      </c>
      <c r="K518" s="299" t="s">
        <v>258</v>
      </c>
      <c r="L518" s="298" t="s">
        <v>259</v>
      </c>
      <c r="M518" s="298" t="s">
        <v>260</v>
      </c>
      <c r="N518" s="298"/>
      <c r="O518" s="299" t="s">
        <v>261</v>
      </c>
      <c r="P518" s="300">
        <v>696</v>
      </c>
      <c r="Q518" s="183">
        <v>0</v>
      </c>
      <c r="R518" s="84"/>
      <c r="S518" s="53"/>
      <c r="T518" s="53"/>
      <c r="U518" s="53">
        <v>1</v>
      </c>
      <c r="V518" s="53">
        <v>277</v>
      </c>
      <c r="W518" s="53"/>
      <c r="X518" s="53"/>
      <c r="Y518" s="53"/>
      <c r="Z518" s="53"/>
      <c r="AA518" s="53"/>
      <c r="AB518" s="53"/>
      <c r="AC518" s="137" t="s">
        <v>124</v>
      </c>
      <c r="AD518" s="138" t="s">
        <v>118</v>
      </c>
      <c r="AE518" s="83">
        <v>8760</v>
      </c>
      <c r="AF518" s="139"/>
      <c r="AG518" s="297"/>
      <c r="AH518" s="139"/>
      <c r="AI518" s="139"/>
      <c r="AJ518" s="83"/>
      <c r="AK518" s="83"/>
      <c r="AL518" s="104"/>
      <c r="AM518" s="104"/>
      <c r="AN518" s="302">
        <v>28212.534</v>
      </c>
      <c r="AO518" s="302">
        <v>42318.800999999992</v>
      </c>
      <c r="AP518" s="303">
        <f t="shared" si="87"/>
        <v>96.265115762760004</v>
      </c>
      <c r="AQ518" s="303">
        <f t="shared" si="88"/>
        <v>144.39767364413999</v>
      </c>
      <c r="AR518" s="85"/>
      <c r="AS518" s="85"/>
      <c r="AT518" s="53"/>
      <c r="AU518" s="53"/>
      <c r="AV518" s="289"/>
      <c r="AW518" s="53"/>
      <c r="AX518" s="53"/>
      <c r="AY518" s="53"/>
      <c r="AZ518" s="53"/>
      <c r="BA518" s="53"/>
      <c r="BB518" s="53"/>
      <c r="BC518" s="301">
        <f t="shared" si="89"/>
        <v>28212.534</v>
      </c>
      <c r="BD518" s="301">
        <f t="shared" si="90"/>
        <v>42318.800999999992</v>
      </c>
    </row>
    <row r="519" spans="1:56" ht="15.75" x14ac:dyDescent="0.25">
      <c r="A519" s="53">
        <v>509</v>
      </c>
      <c r="B519" s="53"/>
      <c r="C519" s="53"/>
      <c r="D519" s="298" t="s">
        <v>135</v>
      </c>
      <c r="E519" s="298"/>
      <c r="F519" s="298"/>
      <c r="G519" s="298" t="s">
        <v>211</v>
      </c>
      <c r="H519" s="298" t="s">
        <v>256</v>
      </c>
      <c r="I519" s="299" t="s">
        <v>825</v>
      </c>
      <c r="J519" s="299" t="s">
        <v>825</v>
      </c>
      <c r="K519" s="299" t="s">
        <v>258</v>
      </c>
      <c r="L519" s="298" t="s">
        <v>259</v>
      </c>
      <c r="M519" s="298" t="s">
        <v>260</v>
      </c>
      <c r="N519" s="298"/>
      <c r="O519" s="299" t="s">
        <v>261</v>
      </c>
      <c r="P519" s="300">
        <v>88</v>
      </c>
      <c r="Q519" s="183">
        <v>0</v>
      </c>
      <c r="R519" s="84"/>
      <c r="S519" s="53"/>
      <c r="T519" s="53"/>
      <c r="U519" s="53">
        <v>1</v>
      </c>
      <c r="V519" s="53">
        <v>277</v>
      </c>
      <c r="W519" s="53"/>
      <c r="X519" s="53"/>
      <c r="Y519" s="53"/>
      <c r="Z519" s="53"/>
      <c r="AA519" s="53"/>
      <c r="AB519" s="53"/>
      <c r="AC519" s="137" t="s">
        <v>124</v>
      </c>
      <c r="AD519" s="138" t="s">
        <v>118</v>
      </c>
      <c r="AE519" s="83">
        <v>8760</v>
      </c>
      <c r="AF519" s="139"/>
      <c r="AG519" s="297"/>
      <c r="AH519" s="139"/>
      <c r="AI519" s="139"/>
      <c r="AJ519" s="83"/>
      <c r="AK519" s="83"/>
      <c r="AL519" s="104"/>
      <c r="AM519" s="104"/>
      <c r="AN519" s="302">
        <v>2495.1779999999999</v>
      </c>
      <c r="AO519" s="302">
        <v>3742.7669999999998</v>
      </c>
      <c r="AP519" s="303">
        <f t="shared" si="87"/>
        <v>8.5138966609200004</v>
      </c>
      <c r="AQ519" s="303">
        <f t="shared" si="88"/>
        <v>12.770844991379999</v>
      </c>
      <c r="AR519" s="85"/>
      <c r="AS519" s="85"/>
      <c r="AT519" s="53"/>
      <c r="AU519" s="53"/>
      <c r="AV519" s="289"/>
      <c r="AW519" s="53"/>
      <c r="AX519" s="53"/>
      <c r="AY519" s="53"/>
      <c r="AZ519" s="53"/>
      <c r="BA519" s="53"/>
      <c r="BB519" s="53"/>
      <c r="BC519" s="301">
        <f t="shared" si="89"/>
        <v>2495.1779999999999</v>
      </c>
      <c r="BD519" s="301">
        <f t="shared" si="90"/>
        <v>3742.7669999999998</v>
      </c>
    </row>
    <row r="520" spans="1:56" ht="15.75" x14ac:dyDescent="0.25">
      <c r="A520" s="53">
        <v>510</v>
      </c>
      <c r="B520" s="53"/>
      <c r="C520" s="53"/>
      <c r="D520" s="298" t="s">
        <v>135</v>
      </c>
      <c r="E520" s="298"/>
      <c r="F520" s="298"/>
      <c r="G520" s="298" t="s">
        <v>211</v>
      </c>
      <c r="H520" s="298" t="s">
        <v>256</v>
      </c>
      <c r="I520" s="299" t="s">
        <v>489</v>
      </c>
      <c r="J520" s="299" t="s">
        <v>489</v>
      </c>
      <c r="K520" s="299" t="s">
        <v>258</v>
      </c>
      <c r="L520" s="298" t="s">
        <v>259</v>
      </c>
      <c r="M520" s="298" t="s">
        <v>260</v>
      </c>
      <c r="N520" s="298"/>
      <c r="O520" s="299" t="s">
        <v>261</v>
      </c>
      <c r="P520" s="300">
        <v>400</v>
      </c>
      <c r="Q520" s="183">
        <v>0</v>
      </c>
      <c r="R520" s="84"/>
      <c r="S520" s="53"/>
      <c r="T520" s="53"/>
      <c r="U520" s="53">
        <v>1</v>
      </c>
      <c r="V520" s="53">
        <v>277</v>
      </c>
      <c r="W520" s="53"/>
      <c r="X520" s="53"/>
      <c r="Y520" s="53"/>
      <c r="Z520" s="53"/>
      <c r="AA520" s="53"/>
      <c r="AB520" s="53"/>
      <c r="AC520" s="137" t="s">
        <v>124</v>
      </c>
      <c r="AD520" s="138" t="s">
        <v>118</v>
      </c>
      <c r="AE520" s="83">
        <v>8760</v>
      </c>
      <c r="AF520" s="139"/>
      <c r="AG520" s="297"/>
      <c r="AH520" s="139"/>
      <c r="AI520" s="139"/>
      <c r="AJ520" s="83"/>
      <c r="AK520" s="83"/>
      <c r="AL520" s="104"/>
      <c r="AM520" s="104"/>
      <c r="AN520" s="302">
        <v>18655.182000000001</v>
      </c>
      <c r="AO520" s="302">
        <v>27982.773000000001</v>
      </c>
      <c r="AP520" s="303">
        <f t="shared" si="87"/>
        <v>63.654092709480004</v>
      </c>
      <c r="AQ520" s="303">
        <f t="shared" si="88"/>
        <v>95.481139064220002</v>
      </c>
      <c r="AR520" s="85"/>
      <c r="AS520" s="85"/>
      <c r="AT520" s="53"/>
      <c r="AU520" s="53"/>
      <c r="AV520" s="289"/>
      <c r="AW520" s="53"/>
      <c r="AX520" s="53"/>
      <c r="AY520" s="53"/>
      <c r="AZ520" s="53"/>
      <c r="BA520" s="53"/>
      <c r="BB520" s="53"/>
      <c r="BC520" s="301">
        <f t="shared" si="89"/>
        <v>18655.182000000001</v>
      </c>
      <c r="BD520" s="301">
        <f t="shared" si="90"/>
        <v>27982.773000000001</v>
      </c>
    </row>
    <row r="521" spans="1:56" ht="15.75" x14ac:dyDescent="0.25">
      <c r="A521" s="53">
        <v>511</v>
      </c>
      <c r="B521" s="53"/>
      <c r="C521" s="53"/>
      <c r="D521" s="53" t="s">
        <v>135</v>
      </c>
      <c r="E521" s="53"/>
      <c r="F521" s="53"/>
      <c r="G521" s="53"/>
      <c r="H521" s="53"/>
      <c r="I521" s="85"/>
      <c r="J521" s="85"/>
      <c r="K521" s="85"/>
      <c r="L521" s="53"/>
      <c r="M521" s="53"/>
      <c r="N521" s="53"/>
      <c r="O521" s="85"/>
      <c r="P521" s="53"/>
      <c r="Q521" s="53"/>
      <c r="R521" s="84"/>
      <c r="S521" s="53"/>
      <c r="T521" s="53"/>
      <c r="U521" s="53"/>
      <c r="V521" s="53"/>
      <c r="W521" s="53"/>
      <c r="X521" s="53"/>
      <c r="Y521" s="53"/>
      <c r="Z521" s="53"/>
      <c r="AA521" s="53"/>
      <c r="AB521" s="53"/>
      <c r="AC521" s="137"/>
      <c r="AD521" s="138"/>
      <c r="AE521" s="83">
        <v>8760</v>
      </c>
      <c r="AF521" s="139">
        <v>1</v>
      </c>
      <c r="AG521" s="139">
        <f t="shared" ref="AG521:AG538" si="91">$AB$7</f>
        <v>0.82191780821917804</v>
      </c>
      <c r="AH521" s="139"/>
      <c r="AI521" s="139"/>
      <c r="AJ521" s="83"/>
      <c r="AK521" s="83"/>
      <c r="AL521" s="104"/>
      <c r="AM521" s="104"/>
      <c r="AN521" s="83"/>
      <c r="AO521" s="83"/>
      <c r="AP521" s="83"/>
      <c r="AQ521" s="83"/>
      <c r="AR521" s="85"/>
      <c r="AS521" s="85"/>
      <c r="AT521" s="53"/>
      <c r="AU521" s="53"/>
      <c r="AV521" s="53"/>
      <c r="AW521" s="53"/>
      <c r="AX521" s="53"/>
      <c r="AY521" s="53"/>
      <c r="AZ521" s="53"/>
      <c r="BA521" s="53"/>
      <c r="BB521" s="53"/>
      <c r="BC521" s="111">
        <f t="shared" si="89"/>
        <v>0</v>
      </c>
      <c r="BD521" s="111">
        <f t="shared" si="90"/>
        <v>0</v>
      </c>
    </row>
    <row r="522" spans="1:56" ht="15.75" x14ac:dyDescent="0.25">
      <c r="A522" s="53">
        <v>512</v>
      </c>
      <c r="B522" s="53"/>
      <c r="C522" s="53"/>
      <c r="D522" s="53" t="s">
        <v>135</v>
      </c>
      <c r="E522" s="53"/>
      <c r="F522" s="53"/>
      <c r="G522" s="53"/>
      <c r="H522" s="53"/>
      <c r="I522" s="85"/>
      <c r="J522" s="85"/>
      <c r="K522" s="85"/>
      <c r="L522" s="53"/>
      <c r="M522" s="53"/>
      <c r="N522" s="53"/>
      <c r="O522" s="85"/>
      <c r="P522" s="53"/>
      <c r="Q522" s="53"/>
      <c r="R522" s="84"/>
      <c r="S522" s="53"/>
      <c r="T522" s="53"/>
      <c r="U522" s="53"/>
      <c r="V522" s="53"/>
      <c r="W522" s="53"/>
      <c r="X522" s="53"/>
      <c r="Y522" s="53"/>
      <c r="Z522" s="53"/>
      <c r="AA522" s="53"/>
      <c r="AB522" s="53"/>
      <c r="AC522" s="137"/>
      <c r="AD522" s="138"/>
      <c r="AE522" s="83">
        <v>8760</v>
      </c>
      <c r="AF522" s="139">
        <v>1</v>
      </c>
      <c r="AG522" s="139">
        <f t="shared" si="91"/>
        <v>0.82191780821917804</v>
      </c>
      <c r="AH522" s="139"/>
      <c r="AI522" s="139"/>
      <c r="AJ522" s="83"/>
      <c r="AK522" s="83"/>
      <c r="AL522" s="104"/>
      <c r="AM522" s="104"/>
      <c r="AN522" s="83"/>
      <c r="AO522" s="83"/>
      <c r="AP522" s="83"/>
      <c r="AQ522" s="83"/>
      <c r="AR522" s="85"/>
      <c r="AS522" s="85"/>
      <c r="AT522" s="53"/>
      <c r="AU522" s="53"/>
      <c r="AV522" s="53"/>
      <c r="AW522" s="53"/>
      <c r="AX522" s="53"/>
      <c r="AY522" s="53"/>
      <c r="AZ522" s="53"/>
      <c r="BA522" s="53"/>
      <c r="BB522" s="53"/>
      <c r="BC522" s="111">
        <f t="shared" si="89"/>
        <v>0</v>
      </c>
      <c r="BD522" s="111">
        <f t="shared" si="90"/>
        <v>0</v>
      </c>
    </row>
    <row r="523" spans="1:56" ht="15.75" x14ac:dyDescent="0.25">
      <c r="A523" s="53">
        <v>513</v>
      </c>
      <c r="B523" s="53"/>
      <c r="C523" s="53"/>
      <c r="D523" s="53" t="s">
        <v>135</v>
      </c>
      <c r="E523" s="53"/>
      <c r="F523" s="53"/>
      <c r="G523" s="53"/>
      <c r="H523" s="53"/>
      <c r="I523" s="85"/>
      <c r="J523" s="85"/>
      <c r="K523" s="85"/>
      <c r="L523" s="53"/>
      <c r="M523" s="53"/>
      <c r="N523" s="53"/>
      <c r="O523" s="85"/>
      <c r="P523" s="53"/>
      <c r="Q523" s="53"/>
      <c r="R523" s="84"/>
      <c r="S523" s="53"/>
      <c r="T523" s="53"/>
      <c r="U523" s="53"/>
      <c r="V523" s="53"/>
      <c r="W523" s="53"/>
      <c r="X523" s="53"/>
      <c r="Y523" s="53"/>
      <c r="Z523" s="53"/>
      <c r="AA523" s="53"/>
      <c r="AB523" s="53"/>
      <c r="AC523" s="137"/>
      <c r="AD523" s="138"/>
      <c r="AE523" s="83">
        <v>8760</v>
      </c>
      <c r="AF523" s="139">
        <v>1</v>
      </c>
      <c r="AG523" s="139">
        <f t="shared" si="91"/>
        <v>0.82191780821917804</v>
      </c>
      <c r="AH523" s="139"/>
      <c r="AI523" s="139"/>
      <c r="AJ523" s="83"/>
      <c r="AK523" s="83"/>
      <c r="AL523" s="104"/>
      <c r="AM523" s="104"/>
      <c r="AN523" s="83"/>
      <c r="AO523" s="83"/>
      <c r="AP523" s="83"/>
      <c r="AQ523" s="83"/>
      <c r="AR523" s="85"/>
      <c r="AS523" s="85"/>
      <c r="AT523" s="53"/>
      <c r="AU523" s="53"/>
      <c r="AV523" s="53"/>
      <c r="AW523" s="53"/>
      <c r="AX523" s="53"/>
      <c r="AY523" s="53"/>
      <c r="AZ523" s="53"/>
      <c r="BA523" s="53"/>
      <c r="BB523" s="53"/>
      <c r="BC523" s="111">
        <f t="shared" ref="BC523:BC538" si="92">AN523</f>
        <v>0</v>
      </c>
      <c r="BD523" s="111">
        <f t="shared" ref="BD523:BD538" si="93">AO523</f>
        <v>0</v>
      </c>
    </row>
    <row r="524" spans="1:56" ht="15.75" x14ac:dyDescent="0.25">
      <c r="A524" s="53">
        <v>514</v>
      </c>
      <c r="B524" s="53"/>
      <c r="C524" s="53"/>
      <c r="D524" s="53" t="s">
        <v>135</v>
      </c>
      <c r="E524" s="53"/>
      <c r="F524" s="53"/>
      <c r="G524" s="53"/>
      <c r="H524" s="53"/>
      <c r="I524" s="85"/>
      <c r="J524" s="85"/>
      <c r="K524" s="85"/>
      <c r="L524" s="53"/>
      <c r="M524" s="53"/>
      <c r="N524" s="53"/>
      <c r="O524" s="85"/>
      <c r="P524" s="53"/>
      <c r="Q524" s="53"/>
      <c r="R524" s="84"/>
      <c r="S524" s="53"/>
      <c r="T524" s="53"/>
      <c r="U524" s="53"/>
      <c r="V524" s="53"/>
      <c r="W524" s="53"/>
      <c r="X524" s="53"/>
      <c r="Y524" s="53"/>
      <c r="Z524" s="53"/>
      <c r="AA524" s="53"/>
      <c r="AB524" s="53"/>
      <c r="AC524" s="137"/>
      <c r="AD524" s="138"/>
      <c r="AE524" s="83">
        <v>8760</v>
      </c>
      <c r="AF524" s="139">
        <v>1</v>
      </c>
      <c r="AG524" s="139">
        <f t="shared" si="91"/>
        <v>0.82191780821917804</v>
      </c>
      <c r="AH524" s="139"/>
      <c r="AI524" s="139"/>
      <c r="AJ524" s="83"/>
      <c r="AK524" s="83"/>
      <c r="AL524" s="104"/>
      <c r="AM524" s="104"/>
      <c r="AN524" s="83"/>
      <c r="AO524" s="83"/>
      <c r="AP524" s="83"/>
      <c r="AQ524" s="83"/>
      <c r="AR524" s="85"/>
      <c r="AS524" s="85"/>
      <c r="AT524" s="53"/>
      <c r="AU524" s="53"/>
      <c r="AV524" s="53"/>
      <c r="AW524" s="53"/>
      <c r="AX524" s="53"/>
      <c r="AY524" s="53"/>
      <c r="AZ524" s="53"/>
      <c r="BA524" s="53"/>
      <c r="BB524" s="53"/>
      <c r="BC524" s="111">
        <f t="shared" si="92"/>
        <v>0</v>
      </c>
      <c r="BD524" s="111">
        <f t="shared" si="93"/>
        <v>0</v>
      </c>
    </row>
    <row r="525" spans="1:56" ht="15.75" x14ac:dyDescent="0.25">
      <c r="A525" s="53">
        <v>515</v>
      </c>
      <c r="B525" s="53"/>
      <c r="C525" s="53"/>
      <c r="D525" s="53" t="s">
        <v>135</v>
      </c>
      <c r="E525" s="53"/>
      <c r="F525" s="53"/>
      <c r="G525" s="53"/>
      <c r="H525" s="53"/>
      <c r="I525" s="85"/>
      <c r="J525" s="85"/>
      <c r="K525" s="85"/>
      <c r="L525" s="53"/>
      <c r="M525" s="53"/>
      <c r="N525" s="53"/>
      <c r="O525" s="85"/>
      <c r="P525" s="53"/>
      <c r="Q525" s="53"/>
      <c r="R525" s="84"/>
      <c r="S525" s="53"/>
      <c r="T525" s="53"/>
      <c r="U525" s="53"/>
      <c r="V525" s="53"/>
      <c r="W525" s="53"/>
      <c r="X525" s="53"/>
      <c r="Y525" s="53"/>
      <c r="Z525" s="53"/>
      <c r="AA525" s="53"/>
      <c r="AB525" s="53"/>
      <c r="AC525" s="137"/>
      <c r="AD525" s="138"/>
      <c r="AE525" s="83">
        <v>8760</v>
      </c>
      <c r="AF525" s="139">
        <v>1</v>
      </c>
      <c r="AG525" s="139">
        <f t="shared" si="91"/>
        <v>0.82191780821917804</v>
      </c>
      <c r="AH525" s="139"/>
      <c r="AI525" s="139"/>
      <c r="AJ525" s="83"/>
      <c r="AK525" s="83"/>
      <c r="AL525" s="104"/>
      <c r="AM525" s="104"/>
      <c r="AN525" s="83"/>
      <c r="AO525" s="83"/>
      <c r="AP525" s="83"/>
      <c r="AQ525" s="83"/>
      <c r="AR525" s="85"/>
      <c r="AS525" s="85"/>
      <c r="AT525" s="53"/>
      <c r="AU525" s="53"/>
      <c r="AV525" s="53"/>
      <c r="AW525" s="53"/>
      <c r="AX525" s="53"/>
      <c r="AY525" s="53"/>
      <c r="AZ525" s="53"/>
      <c r="BA525" s="53"/>
      <c r="BB525" s="53"/>
      <c r="BC525" s="111">
        <f t="shared" si="92"/>
        <v>0</v>
      </c>
      <c r="BD525" s="111">
        <f t="shared" si="93"/>
        <v>0</v>
      </c>
    </row>
    <row r="526" spans="1:56" ht="15.75" x14ac:dyDescent="0.25">
      <c r="A526" s="53">
        <v>516</v>
      </c>
      <c r="B526" s="53"/>
      <c r="C526" s="53"/>
      <c r="D526" s="53" t="s">
        <v>135</v>
      </c>
      <c r="E526" s="53"/>
      <c r="F526" s="53"/>
      <c r="G526" s="53"/>
      <c r="H526" s="53"/>
      <c r="I526" s="85"/>
      <c r="J526" s="85"/>
      <c r="K526" s="85"/>
      <c r="L526" s="53"/>
      <c r="M526" s="53"/>
      <c r="N526" s="53"/>
      <c r="O526" s="85"/>
      <c r="P526" s="53"/>
      <c r="Q526" s="53"/>
      <c r="R526" s="84"/>
      <c r="S526" s="53"/>
      <c r="T526" s="53"/>
      <c r="U526" s="53"/>
      <c r="V526" s="53"/>
      <c r="W526" s="53"/>
      <c r="X526" s="53"/>
      <c r="Y526" s="53"/>
      <c r="Z526" s="53"/>
      <c r="AA526" s="53"/>
      <c r="AB526" s="53"/>
      <c r="AC526" s="137"/>
      <c r="AD526" s="138"/>
      <c r="AE526" s="83">
        <v>8760</v>
      </c>
      <c r="AF526" s="139">
        <v>1</v>
      </c>
      <c r="AG526" s="139">
        <f t="shared" si="91"/>
        <v>0.82191780821917804</v>
      </c>
      <c r="AH526" s="139"/>
      <c r="AI526" s="139"/>
      <c r="AJ526" s="83"/>
      <c r="AK526" s="83"/>
      <c r="AL526" s="104"/>
      <c r="AM526" s="104"/>
      <c r="AN526" s="83"/>
      <c r="AO526" s="83"/>
      <c r="AP526" s="83"/>
      <c r="AQ526" s="83"/>
      <c r="AR526" s="85"/>
      <c r="AS526" s="85"/>
      <c r="AT526" s="53"/>
      <c r="AU526" s="53"/>
      <c r="AV526" s="53"/>
      <c r="AW526" s="53"/>
      <c r="AX526" s="53"/>
      <c r="AY526" s="53"/>
      <c r="AZ526" s="53"/>
      <c r="BA526" s="53"/>
      <c r="BB526" s="53"/>
      <c r="BC526" s="111">
        <f t="shared" si="92"/>
        <v>0</v>
      </c>
      <c r="BD526" s="111">
        <f t="shared" si="93"/>
        <v>0</v>
      </c>
    </row>
    <row r="527" spans="1:56" ht="15.75" x14ac:dyDescent="0.25">
      <c r="A527" s="53">
        <v>517</v>
      </c>
      <c r="B527" s="53"/>
      <c r="C527" s="53"/>
      <c r="D527" s="53" t="s">
        <v>135</v>
      </c>
      <c r="E527" s="53"/>
      <c r="F527" s="53"/>
      <c r="G527" s="53"/>
      <c r="H527" s="53"/>
      <c r="I527" s="85"/>
      <c r="J527" s="85"/>
      <c r="K527" s="85"/>
      <c r="L527" s="53"/>
      <c r="M527" s="53"/>
      <c r="N527" s="53"/>
      <c r="O527" s="85"/>
      <c r="P527" s="53"/>
      <c r="Q527" s="53"/>
      <c r="R527" s="84"/>
      <c r="S527" s="53"/>
      <c r="T527" s="53"/>
      <c r="U527" s="53"/>
      <c r="V527" s="53"/>
      <c r="W527" s="53"/>
      <c r="X527" s="53"/>
      <c r="Y527" s="53"/>
      <c r="Z527" s="53"/>
      <c r="AA527" s="53"/>
      <c r="AB527" s="53"/>
      <c r="AC527" s="137"/>
      <c r="AD527" s="138"/>
      <c r="AE527" s="83">
        <v>8760</v>
      </c>
      <c r="AF527" s="139">
        <v>1</v>
      </c>
      <c r="AG527" s="139">
        <f t="shared" si="91"/>
        <v>0.82191780821917804</v>
      </c>
      <c r="AH527" s="139"/>
      <c r="AI527" s="139"/>
      <c r="AJ527" s="83"/>
      <c r="AK527" s="83"/>
      <c r="AL527" s="104"/>
      <c r="AM527" s="104"/>
      <c r="AN527" s="83"/>
      <c r="AO527" s="83"/>
      <c r="AP527" s="83"/>
      <c r="AQ527" s="83"/>
      <c r="AR527" s="85"/>
      <c r="AS527" s="85"/>
      <c r="AT527" s="53"/>
      <c r="AU527" s="53"/>
      <c r="AV527" s="53"/>
      <c r="AW527" s="53"/>
      <c r="AX527" s="53"/>
      <c r="AY527" s="53"/>
      <c r="AZ527" s="53"/>
      <c r="BA527" s="53"/>
      <c r="BB527" s="53"/>
      <c r="BC527" s="111">
        <f t="shared" si="92"/>
        <v>0</v>
      </c>
      <c r="BD527" s="111">
        <f t="shared" si="93"/>
        <v>0</v>
      </c>
    </row>
    <row r="528" spans="1:56" ht="15.75" x14ac:dyDescent="0.25">
      <c r="A528" s="53">
        <v>518</v>
      </c>
      <c r="B528" s="53"/>
      <c r="C528" s="53"/>
      <c r="D528" s="53" t="s">
        <v>135</v>
      </c>
      <c r="E528" s="53"/>
      <c r="F528" s="53"/>
      <c r="G528" s="53"/>
      <c r="H528" s="53"/>
      <c r="I528" s="85"/>
      <c r="J528" s="85"/>
      <c r="K528" s="85"/>
      <c r="L528" s="53"/>
      <c r="M528" s="53"/>
      <c r="N528" s="53"/>
      <c r="O528" s="85"/>
      <c r="P528" s="53"/>
      <c r="Q528" s="53"/>
      <c r="R528" s="84"/>
      <c r="S528" s="53"/>
      <c r="T528" s="53"/>
      <c r="U528" s="53"/>
      <c r="V528" s="53"/>
      <c r="W528" s="53"/>
      <c r="X528" s="53"/>
      <c r="Y528" s="53"/>
      <c r="Z528" s="53"/>
      <c r="AA528" s="53"/>
      <c r="AB528" s="53"/>
      <c r="AC528" s="137"/>
      <c r="AD528" s="138"/>
      <c r="AE528" s="83">
        <v>8760</v>
      </c>
      <c r="AF528" s="139">
        <v>1</v>
      </c>
      <c r="AG528" s="139">
        <f t="shared" si="91"/>
        <v>0.82191780821917804</v>
      </c>
      <c r="AH528" s="139"/>
      <c r="AI528" s="139"/>
      <c r="AJ528" s="83"/>
      <c r="AK528" s="83"/>
      <c r="AL528" s="104"/>
      <c r="AM528" s="104"/>
      <c r="AN528" s="83"/>
      <c r="AO528" s="83"/>
      <c r="AP528" s="83"/>
      <c r="AQ528" s="83"/>
      <c r="AR528" s="85"/>
      <c r="AS528" s="85"/>
      <c r="AT528" s="53"/>
      <c r="AU528" s="53"/>
      <c r="AV528" s="53"/>
      <c r="AW528" s="53"/>
      <c r="AX528" s="53"/>
      <c r="AY528" s="53"/>
      <c r="AZ528" s="53"/>
      <c r="BA528" s="53"/>
      <c r="BB528" s="53"/>
      <c r="BC528" s="111">
        <f t="shared" si="92"/>
        <v>0</v>
      </c>
      <c r="BD528" s="111">
        <f t="shared" si="93"/>
        <v>0</v>
      </c>
    </row>
    <row r="529" spans="1:56" ht="15.75" x14ac:dyDescent="0.25">
      <c r="A529" s="53">
        <v>519</v>
      </c>
      <c r="B529" s="53"/>
      <c r="C529" s="53"/>
      <c r="D529" s="53" t="s">
        <v>135</v>
      </c>
      <c r="E529" s="53"/>
      <c r="F529" s="53"/>
      <c r="G529" s="53"/>
      <c r="H529" s="53"/>
      <c r="I529" s="85"/>
      <c r="J529" s="85"/>
      <c r="K529" s="85"/>
      <c r="L529" s="53"/>
      <c r="M529" s="53"/>
      <c r="N529" s="53"/>
      <c r="O529" s="85"/>
      <c r="P529" s="53"/>
      <c r="Q529" s="53"/>
      <c r="R529" s="84"/>
      <c r="S529" s="53"/>
      <c r="T529" s="53"/>
      <c r="U529" s="53"/>
      <c r="V529" s="53"/>
      <c r="W529" s="53"/>
      <c r="X529" s="53"/>
      <c r="Y529" s="53"/>
      <c r="Z529" s="53"/>
      <c r="AA529" s="53"/>
      <c r="AB529" s="53"/>
      <c r="AC529" s="137"/>
      <c r="AD529" s="138"/>
      <c r="AE529" s="83">
        <v>8760</v>
      </c>
      <c r="AF529" s="139">
        <v>1</v>
      </c>
      <c r="AG529" s="139">
        <f t="shared" si="91"/>
        <v>0.82191780821917804</v>
      </c>
      <c r="AH529" s="139"/>
      <c r="AI529" s="139"/>
      <c r="AJ529" s="83"/>
      <c r="AK529" s="83"/>
      <c r="AL529" s="104"/>
      <c r="AM529" s="104"/>
      <c r="AN529" s="83"/>
      <c r="AO529" s="83"/>
      <c r="AP529" s="83"/>
      <c r="AQ529" s="83"/>
      <c r="AR529" s="85"/>
      <c r="AS529" s="85"/>
      <c r="AT529" s="53"/>
      <c r="AU529" s="53"/>
      <c r="AV529" s="53"/>
      <c r="AW529" s="53"/>
      <c r="AX529" s="53"/>
      <c r="AY529" s="53"/>
      <c r="AZ529" s="53"/>
      <c r="BA529" s="53"/>
      <c r="BB529" s="53"/>
      <c r="BC529" s="111">
        <f t="shared" si="92"/>
        <v>0</v>
      </c>
      <c r="BD529" s="111">
        <f t="shared" si="93"/>
        <v>0</v>
      </c>
    </row>
    <row r="530" spans="1:56" ht="15.75" x14ac:dyDescent="0.25">
      <c r="A530" s="53">
        <v>520</v>
      </c>
      <c r="B530" s="53"/>
      <c r="C530" s="53"/>
      <c r="D530" s="53" t="s">
        <v>135</v>
      </c>
      <c r="E530" s="53"/>
      <c r="F530" s="53"/>
      <c r="G530" s="53"/>
      <c r="H530" s="53"/>
      <c r="I530" s="85"/>
      <c r="J530" s="85"/>
      <c r="K530" s="85"/>
      <c r="L530" s="53"/>
      <c r="M530" s="53"/>
      <c r="N530" s="53"/>
      <c r="O530" s="85"/>
      <c r="P530" s="53"/>
      <c r="Q530" s="53"/>
      <c r="R530" s="84"/>
      <c r="S530" s="53"/>
      <c r="T530" s="53"/>
      <c r="U530" s="53"/>
      <c r="V530" s="53"/>
      <c r="W530" s="53"/>
      <c r="X530" s="53"/>
      <c r="Y530" s="53"/>
      <c r="Z530" s="53"/>
      <c r="AA530" s="53"/>
      <c r="AB530" s="53"/>
      <c r="AC530" s="137"/>
      <c r="AD530" s="138"/>
      <c r="AE530" s="83">
        <v>8760</v>
      </c>
      <c r="AF530" s="139">
        <v>1</v>
      </c>
      <c r="AG530" s="139">
        <f t="shared" si="91"/>
        <v>0.82191780821917804</v>
      </c>
      <c r="AH530" s="139"/>
      <c r="AI530" s="139"/>
      <c r="AJ530" s="83"/>
      <c r="AK530" s="83"/>
      <c r="AL530" s="104"/>
      <c r="AM530" s="104"/>
      <c r="AN530" s="83"/>
      <c r="AO530" s="83"/>
      <c r="AP530" s="83"/>
      <c r="AQ530" s="83"/>
      <c r="AR530" s="85"/>
      <c r="AS530" s="85"/>
      <c r="AT530" s="53"/>
      <c r="AU530" s="53"/>
      <c r="AV530" s="53"/>
      <c r="AW530" s="53"/>
      <c r="AX530" s="53"/>
      <c r="AY530" s="53"/>
      <c r="AZ530" s="53"/>
      <c r="BA530" s="53"/>
      <c r="BB530" s="53"/>
      <c r="BC530" s="111">
        <f t="shared" si="92"/>
        <v>0</v>
      </c>
      <c r="BD530" s="111">
        <f t="shared" si="93"/>
        <v>0</v>
      </c>
    </row>
    <row r="531" spans="1:56" ht="15.75" x14ac:dyDescent="0.25">
      <c r="A531" s="53">
        <v>521</v>
      </c>
      <c r="B531" s="53"/>
      <c r="C531" s="53"/>
      <c r="D531" s="53" t="s">
        <v>135</v>
      </c>
      <c r="E531" s="53"/>
      <c r="F531" s="53"/>
      <c r="G531" s="53"/>
      <c r="H531" s="53"/>
      <c r="I531" s="85"/>
      <c r="J531" s="85"/>
      <c r="K531" s="85"/>
      <c r="L531" s="53"/>
      <c r="M531" s="53"/>
      <c r="N531" s="53"/>
      <c r="O531" s="85"/>
      <c r="P531" s="53"/>
      <c r="Q531" s="53"/>
      <c r="R531" s="84"/>
      <c r="S531" s="53"/>
      <c r="T531" s="53"/>
      <c r="U531" s="53"/>
      <c r="V531" s="53"/>
      <c r="W531" s="53"/>
      <c r="X531" s="53"/>
      <c r="Y531" s="53"/>
      <c r="Z531" s="53"/>
      <c r="AA531" s="53"/>
      <c r="AB531" s="53"/>
      <c r="AC531" s="137"/>
      <c r="AD531" s="138"/>
      <c r="AE531" s="83">
        <v>8760</v>
      </c>
      <c r="AF531" s="139">
        <v>1</v>
      </c>
      <c r="AG531" s="139">
        <f t="shared" si="91"/>
        <v>0.82191780821917804</v>
      </c>
      <c r="AH531" s="139"/>
      <c r="AI531" s="139"/>
      <c r="AJ531" s="83"/>
      <c r="AK531" s="83"/>
      <c r="AL531" s="104"/>
      <c r="AM531" s="104"/>
      <c r="AN531" s="83"/>
      <c r="AO531" s="83"/>
      <c r="AP531" s="83"/>
      <c r="AQ531" s="83"/>
      <c r="AR531" s="85"/>
      <c r="AS531" s="85"/>
      <c r="AT531" s="53"/>
      <c r="AU531" s="53"/>
      <c r="AV531" s="53"/>
      <c r="AW531" s="53"/>
      <c r="AX531" s="53"/>
      <c r="AY531" s="53"/>
      <c r="AZ531" s="53"/>
      <c r="BA531" s="53"/>
      <c r="BB531" s="53"/>
      <c r="BC531" s="111">
        <f t="shared" si="92"/>
        <v>0</v>
      </c>
      <c r="BD531" s="111">
        <f t="shared" si="93"/>
        <v>0</v>
      </c>
    </row>
    <row r="532" spans="1:56" ht="15.75" x14ac:dyDescent="0.25">
      <c r="A532" s="53">
        <v>522</v>
      </c>
      <c r="B532" s="53"/>
      <c r="C532" s="53"/>
      <c r="D532" s="53" t="s">
        <v>135</v>
      </c>
      <c r="E532" s="53"/>
      <c r="F532" s="53"/>
      <c r="G532" s="53"/>
      <c r="H532" s="53"/>
      <c r="I532" s="85"/>
      <c r="J532" s="85"/>
      <c r="K532" s="85"/>
      <c r="L532" s="53"/>
      <c r="M532" s="53"/>
      <c r="N532" s="53"/>
      <c r="O532" s="85"/>
      <c r="P532" s="53"/>
      <c r="Q532" s="53"/>
      <c r="R532" s="84"/>
      <c r="S532" s="53"/>
      <c r="T532" s="53"/>
      <c r="U532" s="53"/>
      <c r="V532" s="53"/>
      <c r="W532" s="53"/>
      <c r="X532" s="53"/>
      <c r="Y532" s="53"/>
      <c r="Z532" s="53"/>
      <c r="AA532" s="53"/>
      <c r="AB532" s="53"/>
      <c r="AC532" s="137"/>
      <c r="AD532" s="138"/>
      <c r="AE532" s="83">
        <v>8760</v>
      </c>
      <c r="AF532" s="139">
        <v>1</v>
      </c>
      <c r="AG532" s="139">
        <f t="shared" si="91"/>
        <v>0.82191780821917804</v>
      </c>
      <c r="AH532" s="139"/>
      <c r="AI532" s="139"/>
      <c r="AJ532" s="83"/>
      <c r="AK532" s="83"/>
      <c r="AL532" s="104"/>
      <c r="AM532" s="104"/>
      <c r="AN532" s="83"/>
      <c r="AO532" s="83"/>
      <c r="AP532" s="83"/>
      <c r="AQ532" s="83"/>
      <c r="AR532" s="85"/>
      <c r="AS532" s="85"/>
      <c r="AT532" s="53"/>
      <c r="AU532" s="53"/>
      <c r="AV532" s="53"/>
      <c r="AW532" s="53"/>
      <c r="AX532" s="53"/>
      <c r="AY532" s="53"/>
      <c r="AZ532" s="53"/>
      <c r="BA532" s="53"/>
      <c r="BB532" s="53"/>
      <c r="BC532" s="111">
        <f t="shared" si="92"/>
        <v>0</v>
      </c>
      <c r="BD532" s="111">
        <f t="shared" si="93"/>
        <v>0</v>
      </c>
    </row>
    <row r="533" spans="1:56" ht="15.75" x14ac:dyDescent="0.25">
      <c r="A533" s="53">
        <v>523</v>
      </c>
      <c r="B533" s="53"/>
      <c r="C533" s="53"/>
      <c r="D533" s="53" t="s">
        <v>135</v>
      </c>
      <c r="E533" s="53"/>
      <c r="F533" s="53"/>
      <c r="G533" s="53"/>
      <c r="H533" s="53"/>
      <c r="I533" s="85"/>
      <c r="J533" s="85"/>
      <c r="K533" s="85"/>
      <c r="L533" s="53"/>
      <c r="M533" s="53"/>
      <c r="N533" s="53"/>
      <c r="O533" s="85"/>
      <c r="P533" s="53"/>
      <c r="Q533" s="53"/>
      <c r="R533" s="84"/>
      <c r="S533" s="53"/>
      <c r="T533" s="53"/>
      <c r="U533" s="53"/>
      <c r="V533" s="53"/>
      <c r="W533" s="53"/>
      <c r="X533" s="53"/>
      <c r="Y533" s="53"/>
      <c r="Z533" s="53"/>
      <c r="AA533" s="53"/>
      <c r="AB533" s="53"/>
      <c r="AC533" s="137"/>
      <c r="AD533" s="138"/>
      <c r="AE533" s="83">
        <v>8760</v>
      </c>
      <c r="AF533" s="139">
        <v>1</v>
      </c>
      <c r="AG533" s="139">
        <f t="shared" si="91"/>
        <v>0.82191780821917804</v>
      </c>
      <c r="AH533" s="139"/>
      <c r="AI533" s="139"/>
      <c r="AJ533" s="83"/>
      <c r="AK533" s="83"/>
      <c r="AL533" s="104"/>
      <c r="AM533" s="104"/>
      <c r="AN533" s="83"/>
      <c r="AO533" s="83"/>
      <c r="AP533" s="83"/>
      <c r="AQ533" s="83"/>
      <c r="AR533" s="85"/>
      <c r="AS533" s="85"/>
      <c r="AT533" s="53"/>
      <c r="AU533" s="53"/>
      <c r="AV533" s="53"/>
      <c r="AW533" s="53"/>
      <c r="AX533" s="53"/>
      <c r="AY533" s="53"/>
      <c r="AZ533" s="53"/>
      <c r="BA533" s="53"/>
      <c r="BB533" s="53"/>
      <c r="BC533" s="111">
        <f t="shared" si="92"/>
        <v>0</v>
      </c>
      <c r="BD533" s="111">
        <f t="shared" si="93"/>
        <v>0</v>
      </c>
    </row>
    <row r="534" spans="1:56" ht="15.75" x14ac:dyDescent="0.25">
      <c r="A534" s="53">
        <v>524</v>
      </c>
      <c r="B534" s="53"/>
      <c r="C534" s="53"/>
      <c r="D534" s="53" t="s">
        <v>135</v>
      </c>
      <c r="E534" s="53"/>
      <c r="F534" s="53"/>
      <c r="G534" s="53"/>
      <c r="H534" s="53"/>
      <c r="I534" s="85"/>
      <c r="J534" s="85"/>
      <c r="K534" s="85"/>
      <c r="L534" s="53"/>
      <c r="M534" s="53"/>
      <c r="N534" s="53"/>
      <c r="O534" s="85"/>
      <c r="P534" s="53"/>
      <c r="Q534" s="53"/>
      <c r="R534" s="84"/>
      <c r="S534" s="53"/>
      <c r="T534" s="53"/>
      <c r="U534" s="53"/>
      <c r="V534" s="53"/>
      <c r="W534" s="53"/>
      <c r="X534" s="53"/>
      <c r="Y534" s="53"/>
      <c r="Z534" s="53"/>
      <c r="AA534" s="53"/>
      <c r="AB534" s="53"/>
      <c r="AC534" s="137"/>
      <c r="AD534" s="138"/>
      <c r="AE534" s="83">
        <v>8760</v>
      </c>
      <c r="AF534" s="139">
        <v>1</v>
      </c>
      <c r="AG534" s="139">
        <f t="shared" si="91"/>
        <v>0.82191780821917804</v>
      </c>
      <c r="AH534" s="139"/>
      <c r="AI534" s="139"/>
      <c r="AJ534" s="83"/>
      <c r="AK534" s="83"/>
      <c r="AL534" s="104"/>
      <c r="AM534" s="104"/>
      <c r="AN534" s="83"/>
      <c r="AO534" s="83"/>
      <c r="AP534" s="83"/>
      <c r="AQ534" s="83"/>
      <c r="AR534" s="85"/>
      <c r="AS534" s="85"/>
      <c r="AT534" s="53"/>
      <c r="AU534" s="53"/>
      <c r="AV534" s="53"/>
      <c r="AW534" s="53"/>
      <c r="AX534" s="53"/>
      <c r="AY534" s="53"/>
      <c r="AZ534" s="53"/>
      <c r="BA534" s="53"/>
      <c r="BB534" s="53"/>
      <c r="BC534" s="111">
        <f t="shared" si="92"/>
        <v>0</v>
      </c>
      <c r="BD534" s="111">
        <f t="shared" si="93"/>
        <v>0</v>
      </c>
    </row>
    <row r="535" spans="1:56" ht="15.75" x14ac:dyDescent="0.25">
      <c r="A535" s="53">
        <v>525</v>
      </c>
      <c r="B535" s="53"/>
      <c r="C535" s="53"/>
      <c r="D535" s="53" t="s">
        <v>135</v>
      </c>
      <c r="E535" s="53"/>
      <c r="F535" s="53"/>
      <c r="G535" s="53"/>
      <c r="H535" s="53"/>
      <c r="I535" s="85"/>
      <c r="J535" s="85"/>
      <c r="K535" s="85"/>
      <c r="L535" s="53"/>
      <c r="M535" s="53"/>
      <c r="N535" s="53"/>
      <c r="O535" s="85"/>
      <c r="P535" s="53"/>
      <c r="Q535" s="53"/>
      <c r="R535" s="84"/>
      <c r="S535" s="53"/>
      <c r="T535" s="53"/>
      <c r="U535" s="53"/>
      <c r="V535" s="53"/>
      <c r="W535" s="53"/>
      <c r="X535" s="53"/>
      <c r="Y535" s="53"/>
      <c r="Z535" s="53"/>
      <c r="AA535" s="53"/>
      <c r="AB535" s="53"/>
      <c r="AC535" s="137"/>
      <c r="AD535" s="138"/>
      <c r="AE535" s="83">
        <v>8760</v>
      </c>
      <c r="AF535" s="139">
        <v>1</v>
      </c>
      <c r="AG535" s="139">
        <f t="shared" si="91"/>
        <v>0.82191780821917804</v>
      </c>
      <c r="AH535" s="139"/>
      <c r="AI535" s="139"/>
      <c r="AJ535" s="83"/>
      <c r="AK535" s="83"/>
      <c r="AL535" s="104"/>
      <c r="AM535" s="104"/>
      <c r="AN535" s="83"/>
      <c r="AO535" s="83"/>
      <c r="AP535" s="83"/>
      <c r="AQ535" s="83"/>
      <c r="AR535" s="85"/>
      <c r="AS535" s="85"/>
      <c r="AT535" s="53"/>
      <c r="AU535" s="53"/>
      <c r="AV535" s="53"/>
      <c r="AW535" s="53"/>
      <c r="AX535" s="53"/>
      <c r="AY535" s="53"/>
      <c r="AZ535" s="53"/>
      <c r="BA535" s="53"/>
      <c r="BB535" s="53"/>
      <c r="BC535" s="111">
        <f t="shared" si="92"/>
        <v>0</v>
      </c>
      <c r="BD535" s="111">
        <f t="shared" si="93"/>
        <v>0</v>
      </c>
    </row>
    <row r="536" spans="1:56" ht="15.75" x14ac:dyDescent="0.25">
      <c r="A536" s="53">
        <v>526</v>
      </c>
      <c r="B536" s="53"/>
      <c r="C536" s="53"/>
      <c r="D536" s="53" t="s">
        <v>135</v>
      </c>
      <c r="E536" s="53"/>
      <c r="F536" s="53"/>
      <c r="G536" s="53"/>
      <c r="H536" s="53"/>
      <c r="I536" s="85"/>
      <c r="J536" s="85"/>
      <c r="K536" s="85"/>
      <c r="L536" s="53"/>
      <c r="M536" s="53"/>
      <c r="N536" s="53"/>
      <c r="O536" s="85"/>
      <c r="P536" s="53"/>
      <c r="Q536" s="53"/>
      <c r="R536" s="84"/>
      <c r="S536" s="53"/>
      <c r="T536" s="53"/>
      <c r="U536" s="53"/>
      <c r="V536" s="53"/>
      <c r="W536" s="53"/>
      <c r="X536" s="53"/>
      <c r="Y536" s="53"/>
      <c r="Z536" s="53"/>
      <c r="AA536" s="53"/>
      <c r="AB536" s="53"/>
      <c r="AC536" s="137"/>
      <c r="AD536" s="138"/>
      <c r="AE536" s="83">
        <v>8760</v>
      </c>
      <c r="AF536" s="139">
        <v>1</v>
      </c>
      <c r="AG536" s="139">
        <f t="shared" si="91"/>
        <v>0.82191780821917804</v>
      </c>
      <c r="AH536" s="139"/>
      <c r="AI536" s="139"/>
      <c r="AJ536" s="83"/>
      <c r="AK536" s="83"/>
      <c r="AL536" s="104"/>
      <c r="AM536" s="104"/>
      <c r="AN536" s="83"/>
      <c r="AO536" s="83"/>
      <c r="AP536" s="83"/>
      <c r="AQ536" s="83"/>
      <c r="AR536" s="85"/>
      <c r="AS536" s="85"/>
      <c r="AT536" s="53"/>
      <c r="AU536" s="53"/>
      <c r="AV536" s="53"/>
      <c r="AW536" s="53"/>
      <c r="AX536" s="53"/>
      <c r="AY536" s="53"/>
      <c r="AZ536" s="53"/>
      <c r="BA536" s="53"/>
      <c r="BB536" s="53"/>
      <c r="BC536" s="111">
        <f t="shared" si="92"/>
        <v>0</v>
      </c>
      <c r="BD536" s="111">
        <f t="shared" si="93"/>
        <v>0</v>
      </c>
    </row>
    <row r="537" spans="1:56" ht="15.75" x14ac:dyDescent="0.25">
      <c r="A537" s="53">
        <v>527</v>
      </c>
      <c r="B537" s="53"/>
      <c r="C537" s="53"/>
      <c r="D537" s="53" t="s">
        <v>135</v>
      </c>
      <c r="E537" s="53"/>
      <c r="F537" s="53"/>
      <c r="G537" s="53"/>
      <c r="H537" s="53"/>
      <c r="I537" s="85"/>
      <c r="J537" s="85"/>
      <c r="K537" s="85"/>
      <c r="L537" s="53"/>
      <c r="M537" s="53"/>
      <c r="N537" s="53"/>
      <c r="O537" s="85"/>
      <c r="P537" s="53"/>
      <c r="Q537" s="53"/>
      <c r="R537" s="84"/>
      <c r="S537" s="53"/>
      <c r="T537" s="53"/>
      <c r="U537" s="53"/>
      <c r="V537" s="53"/>
      <c r="W537" s="53"/>
      <c r="X537" s="53"/>
      <c r="Y537" s="53"/>
      <c r="Z537" s="53"/>
      <c r="AA537" s="53"/>
      <c r="AB537" s="53"/>
      <c r="AC537" s="137"/>
      <c r="AD537" s="138"/>
      <c r="AE537" s="83">
        <v>8760</v>
      </c>
      <c r="AF537" s="139">
        <v>1</v>
      </c>
      <c r="AG537" s="139">
        <f t="shared" si="91"/>
        <v>0.82191780821917804</v>
      </c>
      <c r="AH537" s="139"/>
      <c r="AI537" s="139"/>
      <c r="AJ537" s="83"/>
      <c r="AK537" s="83"/>
      <c r="AL537" s="104"/>
      <c r="AM537" s="104"/>
      <c r="AN537" s="83"/>
      <c r="AO537" s="83"/>
      <c r="AP537" s="83"/>
      <c r="AQ537" s="83"/>
      <c r="AR537" s="85"/>
      <c r="AS537" s="85"/>
      <c r="AT537" s="53"/>
      <c r="AU537" s="53"/>
      <c r="AV537" s="53"/>
      <c r="AW537" s="53"/>
      <c r="AX537" s="53"/>
      <c r="AY537" s="53"/>
      <c r="AZ537" s="53"/>
      <c r="BA537" s="53"/>
      <c r="BB537" s="53"/>
      <c r="BC537" s="111">
        <f t="shared" si="92"/>
        <v>0</v>
      </c>
      <c r="BD537" s="111">
        <f t="shared" si="93"/>
        <v>0</v>
      </c>
    </row>
    <row r="538" spans="1:56" ht="15.95" customHeight="1" x14ac:dyDescent="0.25">
      <c r="A538" s="53">
        <v>528</v>
      </c>
      <c r="B538" s="53"/>
      <c r="C538" s="53"/>
      <c r="D538" s="53" t="s">
        <v>135</v>
      </c>
      <c r="E538" s="53"/>
      <c r="F538" s="53"/>
      <c r="G538" s="53"/>
      <c r="H538" s="53"/>
      <c r="I538" s="85"/>
      <c r="J538" s="85"/>
      <c r="K538" s="85"/>
      <c r="L538" s="53"/>
      <c r="M538" s="53"/>
      <c r="N538" s="53"/>
      <c r="O538" s="85"/>
      <c r="P538" s="53"/>
      <c r="Q538" s="53"/>
      <c r="R538" s="84"/>
      <c r="S538" s="53"/>
      <c r="T538" s="53"/>
      <c r="U538" s="53"/>
      <c r="V538" s="53"/>
      <c r="W538" s="53"/>
      <c r="X538" s="53"/>
      <c r="Y538" s="53"/>
      <c r="Z538" s="53"/>
      <c r="AA538" s="53"/>
      <c r="AB538" s="53"/>
      <c r="AC538" s="137"/>
      <c r="AD538" s="138"/>
      <c r="AE538" s="83">
        <v>8760</v>
      </c>
      <c r="AF538" s="139">
        <v>1</v>
      </c>
      <c r="AG538" s="139">
        <f t="shared" si="91"/>
        <v>0.82191780821917804</v>
      </c>
      <c r="AH538" s="139"/>
      <c r="AI538" s="139"/>
      <c r="AJ538" s="83"/>
      <c r="AK538" s="83"/>
      <c r="AL538" s="104"/>
      <c r="AM538" s="104"/>
      <c r="AN538" s="83"/>
      <c r="AO538" s="83"/>
      <c r="AP538" s="83"/>
      <c r="AQ538" s="83"/>
      <c r="AR538" s="85"/>
      <c r="AS538" s="85"/>
      <c r="AT538" s="53"/>
      <c r="AU538" s="53"/>
      <c r="AV538" s="53"/>
      <c r="AW538" s="53"/>
      <c r="AX538" s="53"/>
      <c r="AY538" s="53"/>
      <c r="AZ538" s="53"/>
      <c r="BA538" s="53"/>
      <c r="BB538" s="53"/>
      <c r="BC538" s="111">
        <f t="shared" si="92"/>
        <v>0</v>
      </c>
      <c r="BD538" s="111">
        <f t="shared" si="93"/>
        <v>0</v>
      </c>
    </row>
    <row r="540" spans="1:56" ht="38.25" customHeight="1" x14ac:dyDescent="0.25">
      <c r="B540" s="170" t="s">
        <v>951</v>
      </c>
      <c r="AC540" s="209" t="s">
        <v>952</v>
      </c>
      <c r="AD540" s="209" t="s">
        <v>953</v>
      </c>
      <c r="AF540" s="209" t="s">
        <v>954</v>
      </c>
      <c r="AG540" s="209" t="s">
        <v>955</v>
      </c>
      <c r="AH540" s="209" t="s">
        <v>954</v>
      </c>
      <c r="AI540" s="209" t="s">
        <v>954</v>
      </c>
      <c r="AM540" s="189" t="s">
        <v>956</v>
      </c>
      <c r="AN540" s="190">
        <f>SUM(AN11:AN539)</f>
        <v>17917257.973737877</v>
      </c>
      <c r="AO540" s="190">
        <f>SUM(AO11:AO539)</f>
        <v>44177353.077355802</v>
      </c>
      <c r="AP540" s="190">
        <f>SUM(AP11:AP539)</f>
        <v>61136.192622510091</v>
      </c>
      <c r="AQ540" s="190">
        <f>SUM(AQ11:AQ539)</f>
        <v>150739.31352936893</v>
      </c>
      <c r="BC540" s="37">
        <f>SUM(BC11:BC539)</f>
        <v>17917257.973737877</v>
      </c>
      <c r="BD540" s="37">
        <f>SUM(BD11:BD539)</f>
        <v>44177353.077355802</v>
      </c>
    </row>
    <row r="541" spans="1:56" ht="28.5" customHeight="1" x14ac:dyDescent="0.25">
      <c r="AL541" s="283"/>
      <c r="AN541" s="173" t="s">
        <v>150</v>
      </c>
      <c r="AO541" s="173" t="s">
        <v>151</v>
      </c>
      <c r="AP541" s="173" t="s">
        <v>150</v>
      </c>
      <c r="AQ541" s="173" t="s">
        <v>151</v>
      </c>
      <c r="BD541" s="37">
        <f>BD540+BC540</f>
        <v>62094611.051093683</v>
      </c>
    </row>
    <row r="542" spans="1:56" ht="18.75" x14ac:dyDescent="0.25">
      <c r="AL542" s="57">
        <f>SUM(AL11:AL541)</f>
        <v>6045.8773553733699</v>
      </c>
      <c r="AM542" s="57">
        <f>SUM(AM11:AM541)</f>
        <v>9375.285355964992</v>
      </c>
      <c r="AN542" s="187" t="s">
        <v>126</v>
      </c>
      <c r="AO542" s="187" t="s">
        <v>126</v>
      </c>
      <c r="AP542" s="188" t="s">
        <v>201</v>
      </c>
      <c r="AQ542" s="187" t="s">
        <v>201</v>
      </c>
    </row>
    <row r="545" spans="38:45" x14ac:dyDescent="0.25">
      <c r="AL545" s="290">
        <f>1.732*0.48*0.9</f>
        <v>0.748224</v>
      </c>
      <c r="AO545" s="56">
        <f>AN540+AO540</f>
        <v>62094611.051093683</v>
      </c>
      <c r="AQ545" s="56">
        <f>AP540+AQ540</f>
        <v>211875.50615187903</v>
      </c>
    </row>
    <row r="546" spans="38:45" x14ac:dyDescent="0.25">
      <c r="AO546" s="205">
        <f>AO545-I5</f>
        <v>0</v>
      </c>
    </row>
    <row r="547" spans="38:45" x14ac:dyDescent="0.25">
      <c r="AO547" s="186" t="s">
        <v>957</v>
      </c>
    </row>
    <row r="549" spans="38:45" ht="21" x14ac:dyDescent="0.25">
      <c r="AN549" s="213" t="s">
        <v>958</v>
      </c>
    </row>
    <row r="550" spans="38:45" ht="21" x14ac:dyDescent="0.25">
      <c r="AN550" s="213" t="s">
        <v>959</v>
      </c>
      <c r="AQ550" s="57"/>
    </row>
    <row r="551" spans="38:45" ht="21" x14ac:dyDescent="0.25">
      <c r="AN551" s="213" t="s">
        <v>960</v>
      </c>
      <c r="AO551" s="42"/>
      <c r="AP551" s="42"/>
      <c r="AQ551" s="207"/>
      <c r="AR551" s="42"/>
    </row>
    <row r="552" spans="38:45" x14ac:dyDescent="0.25">
      <c r="AM552" s="309" t="s">
        <v>172</v>
      </c>
      <c r="AN552" s="309" t="s">
        <v>173</v>
      </c>
      <c r="AO552" s="309" t="s">
        <v>177</v>
      </c>
      <c r="AP552" s="309" t="s">
        <v>178</v>
      </c>
      <c r="AQ552" s="214" t="s">
        <v>961</v>
      </c>
    </row>
    <row r="553" spans="38:45" x14ac:dyDescent="0.25">
      <c r="AM553" s="309" t="s">
        <v>153</v>
      </c>
      <c r="AN553" s="309" t="s">
        <v>154</v>
      </c>
      <c r="AO553" s="309" t="s">
        <v>155</v>
      </c>
      <c r="AP553" s="309" t="s">
        <v>156</v>
      </c>
      <c r="AQ553" s="215" t="s">
        <v>201</v>
      </c>
      <c r="AR553" s="208" t="s">
        <v>962</v>
      </c>
    </row>
    <row r="554" spans="38:45" x14ac:dyDescent="0.25">
      <c r="AM554" s="310" t="s">
        <v>211</v>
      </c>
      <c r="AN554" s="310" t="s">
        <v>586</v>
      </c>
      <c r="AO554" s="310" t="s">
        <v>361</v>
      </c>
      <c r="AP554" s="310" t="s">
        <v>963</v>
      </c>
      <c r="AQ554" s="326">
        <f>265*AS554</f>
        <v>21.2</v>
      </c>
      <c r="AR554" s="311">
        <v>4</v>
      </c>
      <c r="AS554" s="317">
        <v>0.08</v>
      </c>
    </row>
    <row r="555" spans="38:45" x14ac:dyDescent="0.25">
      <c r="AM555" s="310" t="s">
        <v>211</v>
      </c>
      <c r="AN555" s="310" t="s">
        <v>586</v>
      </c>
      <c r="AO555" s="310" t="s">
        <v>361</v>
      </c>
      <c r="AP555" s="310" t="s">
        <v>964</v>
      </c>
      <c r="AQ555" s="326">
        <f>265*AS555</f>
        <v>243.8</v>
      </c>
      <c r="AR555" s="311">
        <v>0</v>
      </c>
      <c r="AS555" s="317">
        <v>0.92</v>
      </c>
    </row>
    <row r="556" spans="38:45" x14ac:dyDescent="0.25">
      <c r="AM556" s="310" t="s">
        <v>211</v>
      </c>
      <c r="AN556" s="310" t="s">
        <v>212</v>
      </c>
      <c r="AO556" s="310" t="s">
        <v>216</v>
      </c>
      <c r="AP556" s="310" t="s">
        <v>965</v>
      </c>
      <c r="AQ556" s="326">
        <v>4993</v>
      </c>
      <c r="AR556" s="311">
        <v>2</v>
      </c>
    </row>
    <row r="557" spans="38:45" x14ac:dyDescent="0.25">
      <c r="AM557" s="310" t="s">
        <v>211</v>
      </c>
      <c r="AN557" s="310" t="s">
        <v>212</v>
      </c>
      <c r="AO557" s="310" t="s">
        <v>216</v>
      </c>
      <c r="AP557" s="310" t="s">
        <v>217</v>
      </c>
      <c r="AQ557" s="326">
        <v>32405</v>
      </c>
      <c r="AR557" s="311">
        <v>6</v>
      </c>
    </row>
    <row r="558" spans="38:45" x14ac:dyDescent="0.25">
      <c r="AM558" s="310" t="s">
        <v>211</v>
      </c>
      <c r="AN558" s="310" t="s">
        <v>239</v>
      </c>
      <c r="AO558" s="310" t="s">
        <v>216</v>
      </c>
      <c r="AP558" s="310" t="s">
        <v>243</v>
      </c>
      <c r="AQ558" s="326">
        <v>8916</v>
      </c>
      <c r="AR558" s="311">
        <v>7</v>
      </c>
    </row>
    <row r="559" spans="38:45" x14ac:dyDescent="0.25">
      <c r="AM559" s="310" t="s">
        <v>211</v>
      </c>
      <c r="AN559" s="310" t="s">
        <v>239</v>
      </c>
      <c r="AO559" s="310" t="s">
        <v>216</v>
      </c>
      <c r="AP559" s="310" t="s">
        <v>479</v>
      </c>
      <c r="AQ559" s="326">
        <v>401</v>
      </c>
      <c r="AR559" s="311">
        <v>2</v>
      </c>
    </row>
    <row r="560" spans="38:45" x14ac:dyDescent="0.25">
      <c r="AM560" s="310" t="s">
        <v>211</v>
      </c>
      <c r="AN560" s="310" t="s">
        <v>335</v>
      </c>
      <c r="AO560" s="310" t="s">
        <v>216</v>
      </c>
      <c r="AP560" s="310" t="s">
        <v>295</v>
      </c>
      <c r="AQ560" s="326">
        <v>2676</v>
      </c>
      <c r="AR560" s="311">
        <v>6</v>
      </c>
    </row>
    <row r="561" spans="39:44" x14ac:dyDescent="0.25">
      <c r="AM561" s="310" t="s">
        <v>211</v>
      </c>
      <c r="AN561" s="310" t="s">
        <v>557</v>
      </c>
      <c r="AO561" s="310" t="s">
        <v>216</v>
      </c>
      <c r="AP561" s="310" t="s">
        <v>295</v>
      </c>
      <c r="AQ561" s="326">
        <v>1817</v>
      </c>
      <c r="AR561" s="311">
        <v>61</v>
      </c>
    </row>
    <row r="562" spans="39:44" x14ac:dyDescent="0.25">
      <c r="AM562" s="310" t="s">
        <v>211</v>
      </c>
      <c r="AN562" s="310" t="s">
        <v>220</v>
      </c>
      <c r="AO562" s="310" t="s">
        <v>949</v>
      </c>
      <c r="AP562" s="310" t="s">
        <v>966</v>
      </c>
      <c r="AQ562" s="326">
        <v>25</v>
      </c>
      <c r="AR562" s="311">
        <v>1</v>
      </c>
    </row>
    <row r="563" spans="39:44" x14ac:dyDescent="0.25">
      <c r="AM563" s="310" t="s">
        <v>211</v>
      </c>
      <c r="AN563" s="310" t="s">
        <v>220</v>
      </c>
      <c r="AO563" s="310" t="s">
        <v>216</v>
      </c>
      <c r="AP563" s="310" t="s">
        <v>224</v>
      </c>
      <c r="AQ563" s="326">
        <v>15844</v>
      </c>
      <c r="AR563" s="311">
        <v>18</v>
      </c>
    </row>
    <row r="564" spans="39:44" x14ac:dyDescent="0.25">
      <c r="AM564" s="310" t="s">
        <v>211</v>
      </c>
      <c r="AN564" s="310" t="s">
        <v>256</v>
      </c>
      <c r="AO564" s="310" t="s">
        <v>259</v>
      </c>
      <c r="AP564" s="310" t="s">
        <v>967</v>
      </c>
      <c r="AQ564" s="326">
        <v>7743</v>
      </c>
      <c r="AR564" s="311">
        <v>7</v>
      </c>
    </row>
    <row r="565" spans="39:44" x14ac:dyDescent="0.25">
      <c r="AM565" s="310" t="s">
        <v>211</v>
      </c>
      <c r="AN565" s="310" t="s">
        <v>248</v>
      </c>
      <c r="AO565" s="310" t="s">
        <v>216</v>
      </c>
      <c r="AP565" s="310" t="s">
        <v>252</v>
      </c>
      <c r="AQ565" s="326">
        <v>38086</v>
      </c>
      <c r="AR565" s="311">
        <v>33</v>
      </c>
    </row>
    <row r="566" spans="39:44" x14ac:dyDescent="0.25">
      <c r="AM566" s="310" t="s">
        <v>211</v>
      </c>
      <c r="AN566" s="310" t="s">
        <v>849</v>
      </c>
      <c r="AO566" s="310" t="s">
        <v>216</v>
      </c>
      <c r="AP566" s="310" t="s">
        <v>968</v>
      </c>
      <c r="AQ566" s="326">
        <v>106</v>
      </c>
      <c r="AR566" s="311">
        <v>10</v>
      </c>
    </row>
    <row r="567" spans="39:44" x14ac:dyDescent="0.25">
      <c r="AM567" s="312" t="s">
        <v>290</v>
      </c>
      <c r="AN567" s="312" t="s">
        <v>291</v>
      </c>
      <c r="AO567" s="312" t="s">
        <v>216</v>
      </c>
      <c r="AP567" s="312" t="s">
        <v>361</v>
      </c>
      <c r="AQ567" s="327">
        <v>2778</v>
      </c>
      <c r="AR567" s="314">
        <v>38</v>
      </c>
    </row>
    <row r="568" spans="39:44" x14ac:dyDescent="0.25">
      <c r="AM568" s="312" t="s">
        <v>290</v>
      </c>
      <c r="AN568" s="312" t="s">
        <v>291</v>
      </c>
      <c r="AO568" s="312" t="s">
        <v>216</v>
      </c>
      <c r="AP568" s="312" t="s">
        <v>295</v>
      </c>
      <c r="AQ568" s="327">
        <v>48014</v>
      </c>
      <c r="AR568" s="314">
        <v>267</v>
      </c>
    </row>
    <row r="569" spans="39:44" x14ac:dyDescent="0.25">
      <c r="AM569" s="312" t="s">
        <v>290</v>
      </c>
      <c r="AN569" s="312" t="s">
        <v>291</v>
      </c>
      <c r="AO569" s="312" t="s">
        <v>216</v>
      </c>
      <c r="AP569" s="312" t="s">
        <v>252</v>
      </c>
      <c r="AQ569" s="327">
        <v>4548</v>
      </c>
      <c r="AR569" s="314">
        <v>37</v>
      </c>
    </row>
    <row r="570" spans="39:44" x14ac:dyDescent="0.25">
      <c r="AM570" s="312" t="s">
        <v>290</v>
      </c>
      <c r="AN570" s="312" t="s">
        <v>291</v>
      </c>
      <c r="AO570" s="312" t="s">
        <v>404</v>
      </c>
      <c r="AP570" s="312" t="s">
        <v>405</v>
      </c>
      <c r="AQ570" s="327">
        <v>968</v>
      </c>
      <c r="AR570" s="314">
        <v>3</v>
      </c>
    </row>
    <row r="571" spans="39:44" x14ac:dyDescent="0.25">
      <c r="AM571" s="312" t="s">
        <v>290</v>
      </c>
      <c r="AN571" s="312" t="s">
        <v>291</v>
      </c>
      <c r="AO571" s="312" t="s">
        <v>722</v>
      </c>
      <c r="AP571" s="312" t="s">
        <v>723</v>
      </c>
      <c r="AQ571" s="327">
        <v>294</v>
      </c>
      <c r="AR571" s="314">
        <v>6</v>
      </c>
    </row>
    <row r="572" spans="39:44" x14ac:dyDescent="0.25">
      <c r="AM572" s="315" t="s">
        <v>226</v>
      </c>
      <c r="AN572" s="315" t="s">
        <v>227</v>
      </c>
      <c r="AO572" s="315" t="s">
        <v>969</v>
      </c>
      <c r="AP572" s="315" t="s">
        <v>231</v>
      </c>
      <c r="AQ572" s="328">
        <v>10138</v>
      </c>
      <c r="AR572" s="316">
        <v>2</v>
      </c>
    </row>
    <row r="573" spans="39:44" x14ac:dyDescent="0.25">
      <c r="AN573" s="29"/>
      <c r="AP573" s="186" t="s">
        <v>956</v>
      </c>
      <c r="AQ573" s="56">
        <f>SUM(AQ554:AQ572)</f>
        <v>180017</v>
      </c>
      <c r="AR573" s="210">
        <f>SUM(AR554:AR572)</f>
        <v>510</v>
      </c>
    </row>
    <row r="574" spans="39:44" x14ac:dyDescent="0.25">
      <c r="AQ574" s="57">
        <f>AQ573-AQ545</f>
        <v>-31858.506151879032</v>
      </c>
      <c r="AR574" s="206">
        <f>AR573-510</f>
        <v>0</v>
      </c>
    </row>
    <row r="575" spans="39:44" x14ac:dyDescent="0.25">
      <c r="AQ575" s="38" t="s">
        <v>957</v>
      </c>
      <c r="AR575" s="317" t="s">
        <v>957</v>
      </c>
    </row>
    <row r="583" spans="43:44" x14ac:dyDescent="0.25">
      <c r="AR583" s="206"/>
    </row>
    <row r="584" spans="43:44" x14ac:dyDescent="0.25">
      <c r="AR584" s="206"/>
    </row>
    <row r="585" spans="43:44" x14ac:dyDescent="0.25">
      <c r="AQ585" s="57"/>
      <c r="AR585" s="206"/>
    </row>
    <row r="586" spans="43:44" x14ac:dyDescent="0.25">
      <c r="AQ586" s="57"/>
      <c r="AR586" s="206"/>
    </row>
    <row r="587" spans="43:44" x14ac:dyDescent="0.25">
      <c r="AQ587" s="57"/>
      <c r="AR587" s="206"/>
    </row>
    <row r="588" spans="43:44" x14ac:dyDescent="0.25">
      <c r="AQ588" s="57"/>
      <c r="AR588" s="206"/>
    </row>
    <row r="589" spans="43:44" x14ac:dyDescent="0.25">
      <c r="AQ589" s="57"/>
      <c r="AR589" s="206"/>
    </row>
    <row r="590" spans="43:44" x14ac:dyDescent="0.25">
      <c r="AQ590" s="57"/>
      <c r="AR590" s="206"/>
    </row>
    <row r="591" spans="43:44" x14ac:dyDescent="0.25">
      <c r="AQ591" s="57"/>
      <c r="AR591" s="206"/>
    </row>
    <row r="592" spans="43:44" x14ac:dyDescent="0.25">
      <c r="AQ592" s="57"/>
      <c r="AR592" s="206"/>
    </row>
    <row r="593" spans="43:44" x14ac:dyDescent="0.25">
      <c r="AQ593" s="57"/>
      <c r="AR593" s="206"/>
    </row>
    <row r="594" spans="43:44" x14ac:dyDescent="0.25">
      <c r="AQ594" s="57"/>
      <c r="AR594" s="206"/>
    </row>
  </sheetData>
  <autoFilter ref="A10:BD538" xr:uid="{00000000-0009-0000-0000-000001000000}">
    <sortState xmlns:xlrd2="http://schemas.microsoft.com/office/spreadsheetml/2017/richdata2" ref="A11:BD538">
      <sortCondition ref="A10:A538"/>
    </sortState>
  </autoFilter>
  <sortState xmlns:xlrd2="http://schemas.microsoft.com/office/spreadsheetml/2017/richdata2" ref="AO575:AR580">
    <sortCondition ref="AO575:AO580"/>
    <sortCondition ref="AP575:AP580"/>
  </sortState>
  <mergeCells count="1">
    <mergeCell ref="A1:C3"/>
  </mergeCells>
  <conditionalFormatting sqref="AD11:AD538 AW11:AW538">
    <cfRule type="containsText" dxfId="1" priority="2" operator="containsText" text="YES">
      <formula>NOT(ISERROR(SEARCH("YES",AD11)))</formula>
    </cfRule>
  </conditionalFormatting>
  <dataValidations count="6">
    <dataValidation type="list" allowBlank="1" showInputMessage="1" showErrorMessage="1" sqref="D11:D494 D497:D538" xr:uid="{00000000-0002-0000-0100-000000000000}">
      <formula1>$BI$2:$BI$10</formula1>
    </dataValidation>
    <dataValidation type="list" allowBlank="1" showInputMessage="1" showErrorMessage="1" sqref="AC11:AC538" xr:uid="{00000000-0002-0000-0100-000001000000}">
      <formula1>$BK$2:$BK$5</formula1>
    </dataValidation>
    <dataValidation type="list" allowBlank="1" showInputMessage="1" showErrorMessage="1" sqref="U11:U538" xr:uid="{00000000-0002-0000-0100-000002000000}">
      <formula1>$BJ$2:$BJ$3</formula1>
    </dataValidation>
    <dataValidation type="list" allowBlank="1" showInputMessage="1" showErrorMessage="1" sqref="AW11:AW538" xr:uid="{00000000-0002-0000-0100-000003000000}">
      <formula1>$J$155:$J$156</formula1>
    </dataValidation>
    <dataValidation type="list" allowBlank="1" showInputMessage="1" showErrorMessage="1" sqref="AD11:AD538" xr:uid="{00000000-0002-0000-0100-000004000000}">
      <formula1>$BL$2:$BL$3</formula1>
    </dataValidation>
    <dataValidation type="list" allowBlank="1" showInputMessage="1" showErrorMessage="1" sqref="D495:D496" xr:uid="{BADB00AF-81DA-47A9-820B-DB6C74E25680}">
      <formula1>$BH$2:$BH$11</formula1>
    </dataValidation>
  </dataValidation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39378-D48D-4AC6-83AD-1A3F3F9A5D96}">
  <dimension ref="A1:S31"/>
  <sheetViews>
    <sheetView workbookViewId="0">
      <selection activeCell="Q19" sqref="Q19"/>
    </sheetView>
  </sheetViews>
  <sheetFormatPr defaultRowHeight="15" x14ac:dyDescent="0.25"/>
  <cols>
    <col min="1" max="3" width="5" customWidth="1"/>
    <col min="4" max="4" width="5.28515625" style="29" customWidth="1"/>
    <col min="5" max="9" width="10.85546875" customWidth="1"/>
    <col min="17" max="17" width="10.85546875" customWidth="1"/>
  </cols>
  <sheetData>
    <row r="1" spans="1:19" ht="32.25" thickBot="1" x14ac:dyDescent="0.45">
      <c r="A1" s="722" t="s">
        <v>1329</v>
      </c>
      <c r="B1" s="723"/>
      <c r="C1" s="724"/>
      <c r="E1" s="731" t="s">
        <v>1330</v>
      </c>
      <c r="F1" s="732"/>
      <c r="G1" s="732"/>
      <c r="H1" s="732"/>
      <c r="I1" s="732"/>
      <c r="J1" s="732"/>
      <c r="K1" s="732"/>
      <c r="L1" s="732"/>
      <c r="M1" s="733"/>
      <c r="O1" s="431" t="s">
        <v>1185</v>
      </c>
    </row>
    <row r="2" spans="1:19" ht="15.75" thickBot="1" x14ac:dyDescent="0.3">
      <c r="A2" s="725"/>
      <c r="B2" s="726"/>
      <c r="C2" s="727"/>
      <c r="E2" s="432"/>
      <c r="F2" s="734" t="s">
        <v>1331</v>
      </c>
      <c r="G2" s="735"/>
      <c r="H2" s="735"/>
      <c r="I2" s="736"/>
      <c r="J2" s="734" t="s">
        <v>1332</v>
      </c>
      <c r="K2" s="735"/>
      <c r="L2" s="735"/>
      <c r="M2" s="736"/>
    </row>
    <row r="3" spans="1:19" ht="15.75" thickBot="1" x14ac:dyDescent="0.3">
      <c r="A3" s="728"/>
      <c r="B3" s="729"/>
      <c r="C3" s="730"/>
      <c r="E3" s="433" t="s">
        <v>182</v>
      </c>
      <c r="F3" s="434" t="s">
        <v>1333</v>
      </c>
      <c r="G3" s="435" t="s">
        <v>1334</v>
      </c>
      <c r="H3" s="435" t="s">
        <v>1335</v>
      </c>
      <c r="I3" s="436" t="s">
        <v>1336</v>
      </c>
      <c r="J3" s="434">
        <v>900</v>
      </c>
      <c r="K3" s="435">
        <v>1200</v>
      </c>
      <c r="L3" s="437">
        <v>1800</v>
      </c>
      <c r="M3" s="436">
        <v>3600</v>
      </c>
      <c r="N3" t="s">
        <v>1337</v>
      </c>
    </row>
    <row r="4" spans="1:19" ht="14.25" customHeight="1" x14ac:dyDescent="0.25">
      <c r="E4" s="438"/>
      <c r="F4" s="439"/>
      <c r="G4" s="440"/>
      <c r="H4" s="440"/>
      <c r="I4" s="441"/>
      <c r="J4" s="442" t="s">
        <v>1338</v>
      </c>
      <c r="K4" s="443" t="s">
        <v>1339</v>
      </c>
      <c r="L4" s="444" t="s">
        <v>1340</v>
      </c>
      <c r="M4" s="445" t="s">
        <v>1341</v>
      </c>
    </row>
    <row r="5" spans="1:19" x14ac:dyDescent="0.25">
      <c r="D5" s="29">
        <v>1</v>
      </c>
      <c r="E5" s="446">
        <v>1</v>
      </c>
      <c r="F5" s="447" t="s">
        <v>1342</v>
      </c>
      <c r="G5" s="448">
        <v>82.5</v>
      </c>
      <c r="H5" s="448">
        <v>80</v>
      </c>
      <c r="I5" s="449">
        <v>74</v>
      </c>
      <c r="J5" s="447">
        <v>74</v>
      </c>
      <c r="K5" s="448">
        <v>80</v>
      </c>
      <c r="L5" s="450">
        <v>82.5</v>
      </c>
      <c r="M5" s="449">
        <v>75.5</v>
      </c>
    </row>
    <row r="6" spans="1:19" x14ac:dyDescent="0.25">
      <c r="D6" s="29">
        <v>2</v>
      </c>
      <c r="E6" s="451">
        <v>1.5</v>
      </c>
      <c r="F6" s="452">
        <v>82.5</v>
      </c>
      <c r="G6" s="453">
        <v>84</v>
      </c>
      <c r="H6" s="453">
        <v>84</v>
      </c>
      <c r="I6" s="454">
        <v>75.5</v>
      </c>
      <c r="J6" s="452">
        <v>77</v>
      </c>
      <c r="K6" s="453">
        <v>85.5</v>
      </c>
      <c r="L6" s="455">
        <v>84</v>
      </c>
      <c r="M6" s="454">
        <v>82.5</v>
      </c>
      <c r="O6" s="737" t="s">
        <v>1343</v>
      </c>
      <c r="P6" s="738"/>
      <c r="Q6" s="738"/>
      <c r="R6" s="738"/>
      <c r="S6" s="739"/>
    </row>
    <row r="7" spans="1:19" x14ac:dyDescent="0.25">
      <c r="D7" s="29">
        <v>3</v>
      </c>
      <c r="E7" s="446">
        <v>2</v>
      </c>
      <c r="F7" s="447">
        <v>84</v>
      </c>
      <c r="G7" s="448">
        <v>84</v>
      </c>
      <c r="H7" s="448">
        <v>85.5</v>
      </c>
      <c r="I7" s="449">
        <v>85.5</v>
      </c>
      <c r="J7" s="447">
        <v>82.5</v>
      </c>
      <c r="K7" s="448">
        <v>86.5</v>
      </c>
      <c r="L7" s="450">
        <v>84</v>
      </c>
      <c r="M7" s="449">
        <v>84</v>
      </c>
      <c r="O7" s="740"/>
      <c r="P7" s="741"/>
      <c r="Q7" s="741"/>
      <c r="R7" s="741"/>
      <c r="S7" s="742"/>
    </row>
    <row r="8" spans="1:19" x14ac:dyDescent="0.25">
      <c r="D8" s="29">
        <v>4</v>
      </c>
      <c r="E8" s="451">
        <v>3</v>
      </c>
      <c r="F8" s="452">
        <v>84</v>
      </c>
      <c r="G8" s="453">
        <v>86.5</v>
      </c>
      <c r="H8" s="453">
        <v>86.5</v>
      </c>
      <c r="I8" s="454">
        <v>86.5</v>
      </c>
      <c r="J8" s="452">
        <v>84</v>
      </c>
      <c r="K8" s="453">
        <v>87.5</v>
      </c>
      <c r="L8" s="455">
        <v>87.5</v>
      </c>
      <c r="M8" s="454">
        <v>85.5</v>
      </c>
      <c r="O8" s="740"/>
      <c r="P8" s="741"/>
      <c r="Q8" s="741"/>
      <c r="R8" s="741"/>
      <c r="S8" s="742"/>
    </row>
    <row r="9" spans="1:19" x14ac:dyDescent="0.25">
      <c r="D9" s="29">
        <v>5</v>
      </c>
      <c r="E9" s="446">
        <v>5</v>
      </c>
      <c r="F9" s="447">
        <v>85.5</v>
      </c>
      <c r="G9" s="448">
        <v>87.5</v>
      </c>
      <c r="H9" s="448">
        <v>87.5</v>
      </c>
      <c r="I9" s="449">
        <v>87.5</v>
      </c>
      <c r="J9" s="447">
        <v>85.5</v>
      </c>
      <c r="K9" s="448">
        <v>87.5</v>
      </c>
      <c r="L9" s="450">
        <v>87.5</v>
      </c>
      <c r="M9" s="449">
        <v>87.5</v>
      </c>
      <c r="O9" s="740"/>
      <c r="P9" s="741"/>
      <c r="Q9" s="741"/>
      <c r="R9" s="741"/>
      <c r="S9" s="742"/>
    </row>
    <row r="10" spans="1:19" x14ac:dyDescent="0.25">
      <c r="D10" s="29">
        <v>6</v>
      </c>
      <c r="E10" s="451">
        <v>7.5</v>
      </c>
      <c r="F10" s="452">
        <v>87.5</v>
      </c>
      <c r="G10" s="453">
        <v>88.5</v>
      </c>
      <c r="H10" s="453">
        <v>88.5</v>
      </c>
      <c r="I10" s="454">
        <v>88.5</v>
      </c>
      <c r="J10" s="452">
        <v>85.5</v>
      </c>
      <c r="K10" s="453">
        <v>89.5</v>
      </c>
      <c r="L10" s="455">
        <v>89.5</v>
      </c>
      <c r="M10" s="454">
        <v>88.5</v>
      </c>
      <c r="O10" s="740"/>
      <c r="P10" s="741"/>
      <c r="Q10" s="741"/>
      <c r="R10" s="741"/>
      <c r="S10" s="742"/>
    </row>
    <row r="11" spans="1:19" x14ac:dyDescent="0.25">
      <c r="D11" s="29">
        <v>7</v>
      </c>
      <c r="E11" s="446">
        <v>10</v>
      </c>
      <c r="F11" s="447">
        <v>88.5</v>
      </c>
      <c r="G11" s="448">
        <v>89.5</v>
      </c>
      <c r="H11" s="448">
        <v>90.2</v>
      </c>
      <c r="I11" s="449">
        <v>89.5</v>
      </c>
      <c r="J11" s="447">
        <v>88.5</v>
      </c>
      <c r="K11" s="448">
        <v>89.5</v>
      </c>
      <c r="L11" s="450">
        <v>89.5</v>
      </c>
      <c r="M11" s="449">
        <v>89.5</v>
      </c>
      <c r="O11" s="740"/>
      <c r="P11" s="741"/>
      <c r="Q11" s="741"/>
      <c r="R11" s="741"/>
      <c r="S11" s="742"/>
    </row>
    <row r="12" spans="1:19" x14ac:dyDescent="0.25">
      <c r="D12" s="29">
        <v>8</v>
      </c>
      <c r="E12" s="451">
        <v>15</v>
      </c>
      <c r="F12" s="452">
        <v>89.5</v>
      </c>
      <c r="G12" s="453">
        <v>91</v>
      </c>
      <c r="H12" s="453">
        <v>90.2</v>
      </c>
      <c r="I12" s="454">
        <v>89.5</v>
      </c>
      <c r="J12" s="452">
        <v>88.5</v>
      </c>
      <c r="K12" s="453">
        <v>90.2</v>
      </c>
      <c r="L12" s="455">
        <v>91</v>
      </c>
      <c r="M12" s="454">
        <v>90.2</v>
      </c>
      <c r="O12" s="740"/>
      <c r="P12" s="741"/>
      <c r="Q12" s="741"/>
      <c r="R12" s="741"/>
      <c r="S12" s="742"/>
    </row>
    <row r="13" spans="1:19" x14ac:dyDescent="0.25">
      <c r="D13" s="29">
        <v>9</v>
      </c>
      <c r="E13" s="446">
        <v>20</v>
      </c>
      <c r="F13" s="447">
        <v>90.2</v>
      </c>
      <c r="G13" s="448">
        <v>91</v>
      </c>
      <c r="H13" s="448">
        <v>91</v>
      </c>
      <c r="I13" s="449">
        <v>90.2</v>
      </c>
      <c r="J13" s="447">
        <v>89.5</v>
      </c>
      <c r="K13" s="448">
        <v>90.2</v>
      </c>
      <c r="L13" s="450">
        <v>91</v>
      </c>
      <c r="M13" s="449">
        <v>90.2</v>
      </c>
      <c r="O13" s="743"/>
      <c r="P13" s="744"/>
      <c r="Q13" s="744"/>
      <c r="R13" s="744"/>
      <c r="S13" s="745"/>
    </row>
    <row r="14" spans="1:19" x14ac:dyDescent="0.25">
      <c r="D14" s="29">
        <v>10</v>
      </c>
      <c r="E14" s="451">
        <v>25</v>
      </c>
      <c r="F14" s="452">
        <v>91</v>
      </c>
      <c r="G14" s="453">
        <v>91.7</v>
      </c>
      <c r="H14" s="453">
        <v>91.7</v>
      </c>
      <c r="I14" s="454">
        <v>90.2</v>
      </c>
      <c r="J14" s="452">
        <v>89.5</v>
      </c>
      <c r="K14" s="453">
        <v>91.7</v>
      </c>
      <c r="L14" s="455">
        <v>92.4</v>
      </c>
      <c r="M14" s="454">
        <v>91</v>
      </c>
    </row>
    <row r="15" spans="1:19" x14ac:dyDescent="0.25">
      <c r="D15" s="29">
        <v>11</v>
      </c>
      <c r="E15" s="446">
        <v>30</v>
      </c>
      <c r="F15" s="447">
        <v>91</v>
      </c>
      <c r="G15" s="448">
        <v>92.4</v>
      </c>
      <c r="H15" s="448">
        <v>92.4</v>
      </c>
      <c r="I15" s="449">
        <v>91</v>
      </c>
      <c r="J15" s="447">
        <v>91</v>
      </c>
      <c r="K15" s="448">
        <v>91.7</v>
      </c>
      <c r="L15" s="450">
        <v>92.4</v>
      </c>
      <c r="M15" s="449">
        <v>91</v>
      </c>
    </row>
    <row r="16" spans="1:19" x14ac:dyDescent="0.25">
      <c r="D16" s="29">
        <v>12</v>
      </c>
      <c r="E16" s="451">
        <v>40</v>
      </c>
      <c r="F16" s="452">
        <v>91.7</v>
      </c>
      <c r="G16" s="453">
        <v>93</v>
      </c>
      <c r="H16" s="453">
        <v>93</v>
      </c>
      <c r="I16" s="454">
        <v>91</v>
      </c>
      <c r="J16" s="452">
        <v>91</v>
      </c>
      <c r="K16" s="453">
        <v>93</v>
      </c>
      <c r="L16" s="455">
        <v>93</v>
      </c>
      <c r="M16" s="454">
        <v>91.7</v>
      </c>
    </row>
    <row r="17" spans="4:17" x14ac:dyDescent="0.25">
      <c r="D17" s="29">
        <v>13</v>
      </c>
      <c r="E17" s="446">
        <v>50</v>
      </c>
      <c r="F17" s="447">
        <v>92.4</v>
      </c>
      <c r="G17" s="448">
        <v>93</v>
      </c>
      <c r="H17" s="448">
        <v>93</v>
      </c>
      <c r="I17" s="449">
        <v>91.7</v>
      </c>
      <c r="J17" s="447">
        <v>91.7</v>
      </c>
      <c r="K17" s="448">
        <v>93</v>
      </c>
      <c r="L17" s="450">
        <v>93</v>
      </c>
      <c r="M17" s="449">
        <v>92.4</v>
      </c>
    </row>
    <row r="18" spans="4:17" x14ac:dyDescent="0.25">
      <c r="D18" s="29">
        <v>14</v>
      </c>
      <c r="E18" s="451">
        <v>60</v>
      </c>
      <c r="F18" s="452">
        <v>93</v>
      </c>
      <c r="G18" s="453">
        <v>93.6</v>
      </c>
      <c r="H18" s="453">
        <v>93.6</v>
      </c>
      <c r="I18" s="454">
        <v>92.4</v>
      </c>
      <c r="J18" s="452">
        <v>91.7</v>
      </c>
      <c r="K18" s="453">
        <v>93.6</v>
      </c>
      <c r="L18" s="455">
        <v>93.6</v>
      </c>
      <c r="M18" s="454">
        <v>93</v>
      </c>
    </row>
    <row r="19" spans="4:17" x14ac:dyDescent="0.25">
      <c r="D19" s="29">
        <v>15</v>
      </c>
      <c r="E19" s="446">
        <v>75</v>
      </c>
      <c r="F19" s="447">
        <v>93</v>
      </c>
      <c r="G19" s="448">
        <v>94.1</v>
      </c>
      <c r="H19" s="448">
        <v>93.6</v>
      </c>
      <c r="I19" s="449">
        <v>93.6</v>
      </c>
      <c r="J19" s="447">
        <v>93</v>
      </c>
      <c r="K19" s="448">
        <v>93.6</v>
      </c>
      <c r="L19" s="450">
        <v>94.1</v>
      </c>
      <c r="M19" s="449">
        <v>93</v>
      </c>
      <c r="Q19">
        <f>8760*0.84</f>
        <v>7358.4</v>
      </c>
    </row>
    <row r="20" spans="4:17" x14ac:dyDescent="0.25">
      <c r="D20" s="29">
        <v>16</v>
      </c>
      <c r="E20" s="451">
        <v>100</v>
      </c>
      <c r="F20" s="452">
        <v>93</v>
      </c>
      <c r="G20" s="453">
        <v>94.1</v>
      </c>
      <c r="H20" s="453">
        <v>94.1</v>
      </c>
      <c r="I20" s="454">
        <v>93.6</v>
      </c>
      <c r="J20" s="452">
        <v>93</v>
      </c>
      <c r="K20" s="453">
        <v>94.1</v>
      </c>
      <c r="L20" s="455">
        <v>94.5</v>
      </c>
      <c r="M20" s="454">
        <v>93.6</v>
      </c>
      <c r="Q20">
        <f>2295819/8662528</f>
        <v>0.26502875373101248</v>
      </c>
    </row>
    <row r="21" spans="4:17" x14ac:dyDescent="0.25">
      <c r="D21" s="29">
        <v>17</v>
      </c>
      <c r="E21" s="446">
        <v>125</v>
      </c>
      <c r="F21" s="447">
        <v>93.6</v>
      </c>
      <c r="G21" s="448">
        <v>94.5</v>
      </c>
      <c r="H21" s="448">
        <v>94.1</v>
      </c>
      <c r="I21" s="449">
        <v>93.6</v>
      </c>
      <c r="J21" s="447">
        <v>93.6</v>
      </c>
      <c r="K21" s="448">
        <v>94.1</v>
      </c>
      <c r="L21" s="450">
        <v>94.5</v>
      </c>
      <c r="M21" s="449">
        <v>94.5</v>
      </c>
    </row>
    <row r="22" spans="4:17" x14ac:dyDescent="0.25">
      <c r="D22" s="29">
        <v>18</v>
      </c>
      <c r="E22" s="451">
        <v>150</v>
      </c>
      <c r="F22" s="452">
        <v>93.6</v>
      </c>
      <c r="G22" s="453">
        <v>95</v>
      </c>
      <c r="H22" s="453">
        <v>94.5</v>
      </c>
      <c r="I22" s="454">
        <v>93.6</v>
      </c>
      <c r="J22" s="452">
        <v>93.6</v>
      </c>
      <c r="K22" s="453">
        <v>95</v>
      </c>
      <c r="L22" s="455">
        <v>95</v>
      </c>
      <c r="M22" s="454">
        <v>94.5</v>
      </c>
    </row>
    <row r="23" spans="4:17" x14ac:dyDescent="0.25">
      <c r="D23" s="29">
        <v>19</v>
      </c>
      <c r="E23" s="446">
        <v>200</v>
      </c>
      <c r="F23" s="447">
        <v>94.5</v>
      </c>
      <c r="G23" s="448">
        <v>95</v>
      </c>
      <c r="H23" s="448">
        <v>94.5</v>
      </c>
      <c r="I23" s="449">
        <v>93.6</v>
      </c>
      <c r="J23" s="447">
        <v>94.1</v>
      </c>
      <c r="K23" s="448">
        <v>95</v>
      </c>
      <c r="L23" s="450">
        <v>95</v>
      </c>
      <c r="M23" s="449">
        <v>95</v>
      </c>
    </row>
    <row r="24" spans="4:17" x14ac:dyDescent="0.25">
      <c r="D24" s="29">
        <v>20</v>
      </c>
      <c r="E24" s="451">
        <v>250</v>
      </c>
      <c r="F24" s="452">
        <v>94.5</v>
      </c>
      <c r="G24" s="453">
        <v>95.4</v>
      </c>
      <c r="H24" s="453">
        <v>95.4</v>
      </c>
      <c r="I24" s="454">
        <v>94.5</v>
      </c>
      <c r="J24" s="452">
        <v>94.5</v>
      </c>
      <c r="K24" s="453">
        <v>95</v>
      </c>
      <c r="L24" s="455">
        <v>95</v>
      </c>
      <c r="M24" s="454">
        <v>95.4</v>
      </c>
    </row>
    <row r="25" spans="4:17" x14ac:dyDescent="0.25">
      <c r="D25" s="29">
        <v>21</v>
      </c>
      <c r="E25" s="446">
        <v>300</v>
      </c>
      <c r="F25" s="447">
        <v>95</v>
      </c>
      <c r="G25" s="448">
        <v>95.4</v>
      </c>
      <c r="H25" s="448">
        <v>95.4</v>
      </c>
      <c r="I25" s="449" t="s">
        <v>1342</v>
      </c>
      <c r="J25" s="447" t="s">
        <v>1342</v>
      </c>
      <c r="K25" s="448">
        <v>95</v>
      </c>
      <c r="L25" s="450">
        <v>95.4</v>
      </c>
      <c r="M25" s="449">
        <v>95.4</v>
      </c>
    </row>
    <row r="26" spans="4:17" x14ac:dyDescent="0.25">
      <c r="D26" s="29">
        <v>22</v>
      </c>
      <c r="E26" s="451">
        <v>350</v>
      </c>
      <c r="F26" s="452">
        <v>95</v>
      </c>
      <c r="G26" s="453">
        <v>95.4</v>
      </c>
      <c r="H26" s="453">
        <v>95.4</v>
      </c>
      <c r="I26" s="454" t="s">
        <v>1342</v>
      </c>
      <c r="J26" s="452" t="s">
        <v>1342</v>
      </c>
      <c r="K26" s="453">
        <v>95</v>
      </c>
      <c r="L26" s="455">
        <v>95.4</v>
      </c>
      <c r="M26" s="454">
        <v>95.4</v>
      </c>
    </row>
    <row r="27" spans="4:17" x14ac:dyDescent="0.25">
      <c r="D27" s="29">
        <v>23</v>
      </c>
      <c r="E27" s="446">
        <v>400</v>
      </c>
      <c r="F27" s="447">
        <v>95.4</v>
      </c>
      <c r="G27" s="448">
        <v>95.4</v>
      </c>
      <c r="H27" s="448" t="s">
        <v>1342</v>
      </c>
      <c r="I27" s="449" t="s">
        <v>1342</v>
      </c>
      <c r="J27" s="447" t="s">
        <v>1342</v>
      </c>
      <c r="K27" s="448" t="s">
        <v>1342</v>
      </c>
      <c r="L27" s="450">
        <v>95.4</v>
      </c>
      <c r="M27" s="449">
        <v>95.4</v>
      </c>
    </row>
    <row r="28" spans="4:17" x14ac:dyDescent="0.25">
      <c r="D28" s="29">
        <v>24</v>
      </c>
      <c r="E28" s="451">
        <v>450</v>
      </c>
      <c r="F28" s="452">
        <v>95.8</v>
      </c>
      <c r="G28" s="453">
        <v>95.8</v>
      </c>
      <c r="H28" s="453" t="s">
        <v>1342</v>
      </c>
      <c r="I28" s="454" t="s">
        <v>1342</v>
      </c>
      <c r="J28" s="452" t="s">
        <v>1342</v>
      </c>
      <c r="K28" s="453" t="s">
        <v>1342</v>
      </c>
      <c r="L28" s="455">
        <v>95.4</v>
      </c>
      <c r="M28" s="454">
        <v>95.4</v>
      </c>
    </row>
    <row r="29" spans="4:17" ht="15.75" thickBot="1" x14ac:dyDescent="0.3">
      <c r="D29" s="29">
        <v>25</v>
      </c>
      <c r="E29" s="456">
        <v>500</v>
      </c>
      <c r="F29" s="457">
        <v>95.8</v>
      </c>
      <c r="G29" s="458">
        <v>95.8</v>
      </c>
      <c r="H29" s="458" t="s">
        <v>1342</v>
      </c>
      <c r="I29" s="459" t="s">
        <v>1342</v>
      </c>
      <c r="J29" s="458" t="s">
        <v>1342</v>
      </c>
      <c r="K29" s="458" t="s">
        <v>1342</v>
      </c>
      <c r="L29" s="460">
        <v>95.8</v>
      </c>
      <c r="M29" s="459">
        <v>95.4</v>
      </c>
    </row>
    <row r="31" spans="4:17" x14ac:dyDescent="0.25">
      <c r="L31" s="461" t="s">
        <v>1344</v>
      </c>
    </row>
  </sheetData>
  <mergeCells count="5">
    <mergeCell ref="A1:C3"/>
    <mergeCell ref="E1:M1"/>
    <mergeCell ref="F2:I2"/>
    <mergeCell ref="J2:M2"/>
    <mergeCell ref="O6:S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135"/>
  <sheetViews>
    <sheetView zoomScale="96" zoomScaleNormal="96" workbookViewId="0">
      <selection activeCell="I5" sqref="I5"/>
    </sheetView>
  </sheetViews>
  <sheetFormatPr defaultColWidth="8.85546875" defaultRowHeight="15" x14ac:dyDescent="0.25"/>
  <cols>
    <col min="1" max="3" width="4.5703125" customWidth="1"/>
    <col min="4" max="6" width="11.5703125" customWidth="1"/>
    <col min="7" max="8" width="16.28515625" customWidth="1"/>
    <col min="9" max="9" width="26" customWidth="1"/>
    <col min="10" max="10" width="36.85546875" customWidth="1"/>
    <col min="11" max="11" width="24.140625" customWidth="1"/>
    <col min="12" max="13" width="18.42578125" customWidth="1"/>
    <col min="14" max="14" width="9.5703125" customWidth="1"/>
    <col min="15" max="15" width="54" customWidth="1"/>
    <col min="16" max="16" width="11.7109375" customWidth="1"/>
    <col min="17" max="18" width="16" customWidth="1"/>
    <col min="19" max="19" width="13.7109375" customWidth="1"/>
    <col min="20" max="20" width="12.5703125" customWidth="1"/>
    <col min="21" max="21" width="7.28515625" customWidth="1"/>
    <col min="22" max="22" width="6.85546875" customWidth="1"/>
    <col min="23" max="23" width="13.28515625" customWidth="1"/>
    <col min="24" max="25" width="11.5703125" customWidth="1"/>
    <col min="26" max="26" width="8" customWidth="1"/>
    <col min="27" max="28" width="14.28515625" customWidth="1"/>
    <col min="29" max="29" width="16.7109375" customWidth="1"/>
    <col min="30" max="31" width="16.140625" customWidth="1"/>
    <col min="32" max="32" width="32.7109375" customWidth="1"/>
    <col min="33" max="36" width="12.85546875" customWidth="1"/>
    <col min="37" max="40" width="13.140625" customWidth="1"/>
  </cols>
  <sheetData>
    <row r="1" spans="1:40" s="29" customFormat="1" ht="31.5" x14ac:dyDescent="0.5">
      <c r="A1" s="722" t="s">
        <v>970</v>
      </c>
      <c r="B1" s="723"/>
      <c r="C1" s="724"/>
      <c r="D1" s="151" t="s">
        <v>1179</v>
      </c>
      <c r="J1" s="27" t="s">
        <v>97</v>
      </c>
      <c r="O1" s="27" t="s">
        <v>97</v>
      </c>
      <c r="U1" s="110" t="s">
        <v>98</v>
      </c>
      <c r="W1" s="2"/>
      <c r="X1" s="37"/>
      <c r="Y1" s="37"/>
      <c r="Z1" s="37"/>
      <c r="AA1" s="38"/>
      <c r="AB1" s="38"/>
      <c r="AC1" s="38"/>
      <c r="AD1" s="38"/>
      <c r="AE1" s="38"/>
      <c r="AF1" s="79"/>
      <c r="AG1" s="101" t="s">
        <v>97</v>
      </c>
      <c r="AH1" s="102"/>
      <c r="AI1" s="103"/>
      <c r="AJ1"/>
    </row>
    <row r="2" spans="1:40" s="29" customFormat="1" ht="22.5" customHeight="1" x14ac:dyDescent="0.35">
      <c r="A2" s="725"/>
      <c r="B2" s="726"/>
      <c r="C2" s="727"/>
      <c r="E2" s="76" t="s">
        <v>971</v>
      </c>
      <c r="F2" s="76"/>
      <c r="G2" s="76"/>
      <c r="I2" s="76"/>
      <c r="J2" s="86" t="s">
        <v>105</v>
      </c>
      <c r="O2" s="86" t="s">
        <v>105</v>
      </c>
      <c r="S2" s="89" t="s">
        <v>107</v>
      </c>
      <c r="U2" s="110" t="s">
        <v>972</v>
      </c>
      <c r="W2" s="2"/>
      <c r="X2" s="37"/>
      <c r="Y2" s="37"/>
      <c r="Z2" s="37"/>
      <c r="AA2" s="38"/>
      <c r="AB2" s="38"/>
      <c r="AC2" s="38"/>
      <c r="AD2" s="38"/>
      <c r="AE2" s="38"/>
      <c r="AF2" s="79"/>
      <c r="AG2" s="100" t="s">
        <v>105</v>
      </c>
      <c r="AH2" s="91"/>
      <c r="AI2" s="92"/>
      <c r="AJ2"/>
    </row>
    <row r="3" spans="1:40" s="29" customFormat="1" ht="22.5" customHeight="1" x14ac:dyDescent="0.25">
      <c r="A3" s="728"/>
      <c r="B3" s="729"/>
      <c r="C3" s="730"/>
      <c r="H3" s="88" t="s">
        <v>973</v>
      </c>
      <c r="J3" s="131" t="s">
        <v>113</v>
      </c>
      <c r="O3" s="112" t="s">
        <v>113</v>
      </c>
      <c r="R3" s="164" t="s">
        <v>114</v>
      </c>
      <c r="S3" s="165">
        <v>0.5</v>
      </c>
      <c r="U3" s="110" t="s">
        <v>974</v>
      </c>
      <c r="W3" s="2"/>
      <c r="X3" s="37"/>
      <c r="Y3" s="37"/>
      <c r="Z3" s="37"/>
      <c r="AA3" s="38"/>
      <c r="AB3" s="38"/>
      <c r="AC3" s="38"/>
      <c r="AG3" s="171" t="s">
        <v>113</v>
      </c>
      <c r="AH3" s="129"/>
      <c r="AI3" s="130"/>
    </row>
    <row r="4" spans="1:40" s="29" customFormat="1" ht="22.5" customHeight="1" x14ac:dyDescent="0.25">
      <c r="H4" s="45" t="s">
        <v>975</v>
      </c>
      <c r="I4" s="212">
        <f>AF101+AF104</f>
        <v>7962</v>
      </c>
      <c r="J4" s="113" t="s">
        <v>119</v>
      </c>
      <c r="O4" s="113" t="s">
        <v>119</v>
      </c>
      <c r="R4" s="164" t="s">
        <v>120</v>
      </c>
      <c r="S4" s="165">
        <v>0.5</v>
      </c>
      <c r="U4" s="110" t="s">
        <v>976</v>
      </c>
      <c r="W4" s="2"/>
      <c r="X4" s="37"/>
      <c r="Y4" s="37"/>
      <c r="Z4" s="37"/>
      <c r="AA4" s="38"/>
      <c r="AB4" s="38"/>
      <c r="AC4" s="38"/>
      <c r="AG4" s="114" t="s">
        <v>119</v>
      </c>
      <c r="AH4" s="115"/>
      <c r="AI4" s="116"/>
    </row>
    <row r="5" spans="1:40" s="29" customFormat="1" ht="22.5" customHeight="1" x14ac:dyDescent="0.25">
      <c r="H5" s="45" t="s">
        <v>977</v>
      </c>
      <c r="I5" s="191">
        <f>AD96+AE96</f>
        <v>275251.12776144571</v>
      </c>
      <c r="J5" s="34" t="s">
        <v>201</v>
      </c>
      <c r="U5" s="110" t="s">
        <v>978</v>
      </c>
      <c r="W5" s="2"/>
      <c r="X5" s="37"/>
      <c r="Y5" s="37"/>
      <c r="Z5" s="37"/>
      <c r="AA5" s="38"/>
      <c r="AB5" s="38"/>
      <c r="AC5" s="38"/>
    </row>
    <row r="6" spans="1:40" s="29" customFormat="1" ht="22.5" customHeight="1" x14ac:dyDescent="0.25">
      <c r="H6" s="45" t="s">
        <v>979</v>
      </c>
      <c r="I6" s="154">
        <f>'4_Utility Data'!I137</f>
        <v>279739.50552312197</v>
      </c>
      <c r="J6" s="34" t="s">
        <v>201</v>
      </c>
      <c r="R6" s="81" t="s">
        <v>132</v>
      </c>
      <c r="S6" s="137" t="s">
        <v>133</v>
      </c>
      <c r="T6" s="150" t="s">
        <v>134</v>
      </c>
      <c r="U6" s="110" t="s">
        <v>980</v>
      </c>
      <c r="W6" s="2"/>
      <c r="X6" s="37"/>
      <c r="Y6" s="37"/>
      <c r="Z6" s="37"/>
      <c r="AA6" s="38"/>
      <c r="AB6" s="38"/>
      <c r="AC6" s="38"/>
      <c r="AD6" s="38"/>
      <c r="AE6" s="38"/>
      <c r="AF6" s="79"/>
    </row>
    <row r="7" spans="1:40" s="29" customFormat="1" ht="22.5" customHeight="1" x14ac:dyDescent="0.25">
      <c r="F7" s="87" t="s">
        <v>138</v>
      </c>
      <c r="G7" s="87"/>
      <c r="H7" s="156">
        <v>2022</v>
      </c>
      <c r="J7" s="27"/>
      <c r="Q7" s="50" t="s">
        <v>140</v>
      </c>
      <c r="R7" s="148">
        <v>8760</v>
      </c>
      <c r="S7" s="149">
        <v>5400</v>
      </c>
      <c r="T7" s="173">
        <f>S7/R7</f>
        <v>0.61643835616438358</v>
      </c>
      <c r="U7" s="136" t="s">
        <v>981</v>
      </c>
      <c r="W7" s="2"/>
      <c r="X7" s="37"/>
      <c r="Y7" s="37"/>
      <c r="Z7" s="37"/>
      <c r="AA7" s="38"/>
      <c r="AB7" s="38"/>
      <c r="AC7" s="38"/>
      <c r="AD7" s="38"/>
      <c r="AE7" s="38"/>
      <c r="AF7" s="128"/>
      <c r="AJ7"/>
      <c r="AK7" s="147" t="s">
        <v>143</v>
      </c>
      <c r="AL7" s="147" t="s">
        <v>144</v>
      </c>
    </row>
    <row r="8" spans="1:40" s="29" customFormat="1" ht="22.5" customHeight="1" x14ac:dyDescent="0.25">
      <c r="H8" s="50" t="s">
        <v>145</v>
      </c>
      <c r="I8" s="152">
        <f>I5-I6</f>
        <v>-4488.3777616762673</v>
      </c>
      <c r="J8" s="153">
        <f>I8/I6</f>
        <v>-1.6044847699586997E-2</v>
      </c>
      <c r="U8" s="110" t="s">
        <v>982</v>
      </c>
      <c r="X8" s="37"/>
      <c r="Y8" s="37"/>
      <c r="Z8" s="37"/>
      <c r="AA8" s="38"/>
      <c r="AB8" s="38"/>
      <c r="AC8" s="38"/>
      <c r="AD8" s="38"/>
      <c r="AE8" s="38"/>
      <c r="AF8" s="79"/>
      <c r="AJ8"/>
      <c r="AK8" s="147" t="s">
        <v>150</v>
      </c>
      <c r="AL8" s="147" t="s">
        <v>151</v>
      </c>
      <c r="AM8" s="147" t="s">
        <v>150</v>
      </c>
      <c r="AN8" s="147" t="s">
        <v>151</v>
      </c>
    </row>
    <row r="9" spans="1:40" s="29" customFormat="1" ht="15.75" x14ac:dyDescent="0.25">
      <c r="A9" s="96" t="s">
        <v>152</v>
      </c>
      <c r="B9" s="94"/>
      <c r="C9" s="95"/>
      <c r="G9" s="304" t="s">
        <v>153</v>
      </c>
      <c r="H9" s="304" t="s">
        <v>154</v>
      </c>
      <c r="L9" s="304" t="s">
        <v>155</v>
      </c>
      <c r="M9" s="304" t="s">
        <v>156</v>
      </c>
      <c r="Q9" s="93" t="s">
        <v>983</v>
      </c>
      <c r="R9" s="94"/>
      <c r="S9" s="94"/>
      <c r="T9" s="94"/>
      <c r="U9" s="131" t="s">
        <v>158</v>
      </c>
      <c r="V9" s="132" t="s">
        <v>159</v>
      </c>
      <c r="W9" s="126" t="s">
        <v>160</v>
      </c>
      <c r="X9" s="37"/>
      <c r="Y9" s="134" t="s">
        <v>161</v>
      </c>
      <c r="Z9" s="134" t="s">
        <v>150</v>
      </c>
      <c r="AA9" s="134" t="s">
        <v>151</v>
      </c>
      <c r="AB9" s="117" t="s">
        <v>150</v>
      </c>
      <c r="AC9" s="117" t="s">
        <v>151</v>
      </c>
      <c r="AD9" s="118" t="s">
        <v>150</v>
      </c>
      <c r="AE9" s="118" t="s">
        <v>151</v>
      </c>
      <c r="AF9" s="79"/>
      <c r="AG9" s="140" t="s">
        <v>163</v>
      </c>
      <c r="AH9" s="141"/>
      <c r="AI9" s="142"/>
      <c r="AJ9" s="142"/>
      <c r="AK9" s="143" t="s">
        <v>164</v>
      </c>
      <c r="AL9" s="143" t="s">
        <v>164</v>
      </c>
      <c r="AM9" s="143" t="s">
        <v>165</v>
      </c>
      <c r="AN9" s="144" t="s">
        <v>165</v>
      </c>
    </row>
    <row r="10" spans="1:40" s="29" customFormat="1" ht="18.75" x14ac:dyDescent="0.25">
      <c r="A10" s="81" t="s">
        <v>166</v>
      </c>
      <c r="B10" s="81" t="s">
        <v>167</v>
      </c>
      <c r="C10" s="81" t="s">
        <v>168</v>
      </c>
      <c r="D10" s="81" t="s">
        <v>169</v>
      </c>
      <c r="E10" s="81" t="s">
        <v>170</v>
      </c>
      <c r="F10" s="81" t="s">
        <v>171</v>
      </c>
      <c r="G10" s="304" t="s">
        <v>172</v>
      </c>
      <c r="H10" s="304" t="s">
        <v>173</v>
      </c>
      <c r="I10" s="81" t="s">
        <v>174</v>
      </c>
      <c r="J10" s="81" t="s">
        <v>175</v>
      </c>
      <c r="K10" s="81" t="s">
        <v>176</v>
      </c>
      <c r="L10" s="304" t="s">
        <v>177</v>
      </c>
      <c r="M10" s="304" t="s">
        <v>178</v>
      </c>
      <c r="N10" s="81" t="s">
        <v>179</v>
      </c>
      <c r="O10" s="81" t="s">
        <v>180</v>
      </c>
      <c r="P10" s="81" t="s">
        <v>984</v>
      </c>
      <c r="Q10" s="105" t="s">
        <v>985</v>
      </c>
      <c r="R10" s="106" t="s">
        <v>986</v>
      </c>
      <c r="S10" s="105" t="s">
        <v>37</v>
      </c>
      <c r="T10" s="105" t="s">
        <v>37</v>
      </c>
      <c r="U10" s="131" t="s">
        <v>194</v>
      </c>
      <c r="V10" s="132" t="s">
        <v>987</v>
      </c>
      <c r="W10" s="127" t="s">
        <v>196</v>
      </c>
      <c r="X10" s="133" t="s">
        <v>197</v>
      </c>
      <c r="Y10" s="133" t="s">
        <v>134</v>
      </c>
      <c r="Z10" s="134" t="s">
        <v>198</v>
      </c>
      <c r="AA10" s="134" t="s">
        <v>198</v>
      </c>
      <c r="AB10" s="119" t="s">
        <v>199</v>
      </c>
      <c r="AC10" s="119" t="s">
        <v>199</v>
      </c>
      <c r="AD10" s="119" t="s">
        <v>201</v>
      </c>
      <c r="AE10" s="119" t="s">
        <v>201</v>
      </c>
      <c r="AF10" s="82" t="s">
        <v>988</v>
      </c>
      <c r="AG10" s="145" t="s">
        <v>207</v>
      </c>
      <c r="AH10" s="145" t="s">
        <v>208</v>
      </c>
      <c r="AI10" s="146" t="s">
        <v>209</v>
      </c>
      <c r="AJ10" s="146" t="s">
        <v>210</v>
      </c>
      <c r="AK10" s="146" t="s">
        <v>201</v>
      </c>
      <c r="AL10" s="145" t="s">
        <v>201</v>
      </c>
      <c r="AM10" s="146" t="s">
        <v>201</v>
      </c>
      <c r="AN10" s="145" t="s">
        <v>201</v>
      </c>
    </row>
    <row r="11" spans="1:40" s="29" customFormat="1" ht="15.75" x14ac:dyDescent="0.25">
      <c r="A11" s="53">
        <v>1</v>
      </c>
      <c r="B11" s="53"/>
      <c r="C11" s="53"/>
      <c r="D11" s="53" t="s">
        <v>135</v>
      </c>
      <c r="E11" s="53"/>
      <c r="F11" s="53"/>
      <c r="G11" s="53" t="s">
        <v>290</v>
      </c>
      <c r="H11" s="53" t="s">
        <v>291</v>
      </c>
      <c r="I11" s="85" t="s">
        <v>455</v>
      </c>
      <c r="J11" s="85" t="s">
        <v>456</v>
      </c>
      <c r="K11" s="85" t="s">
        <v>989</v>
      </c>
      <c r="L11" s="53" t="s">
        <v>404</v>
      </c>
      <c r="M11" s="53" t="s">
        <v>990</v>
      </c>
      <c r="N11" s="53"/>
      <c r="O11" s="85" t="s">
        <v>991</v>
      </c>
      <c r="P11" s="53">
        <v>1</v>
      </c>
      <c r="Q11" s="83">
        <v>1195200</v>
      </c>
      <c r="R11" s="84">
        <v>0.8</v>
      </c>
      <c r="S11" s="53"/>
      <c r="T11" s="53"/>
      <c r="U11" s="137" t="s">
        <v>124</v>
      </c>
      <c r="V11" s="138" t="s">
        <v>118</v>
      </c>
      <c r="W11" s="111">
        <v>8760</v>
      </c>
      <c r="X11" s="139">
        <v>0.6</v>
      </c>
      <c r="Y11" s="139">
        <f t="shared" ref="Y11:Y42" si="0">$T$7</f>
        <v>0.61643835616438358</v>
      </c>
      <c r="Z11" s="139">
        <v>1</v>
      </c>
      <c r="AA11" s="139">
        <v>1</v>
      </c>
      <c r="AB11" s="83">
        <f t="shared" ref="AB11:AB42" si="1">$W11*Y11*$S$3</f>
        <v>2700</v>
      </c>
      <c r="AC11" s="83">
        <f t="shared" ref="AC11:AC42" si="2">$W11*Y11*$S$4</f>
        <v>2700</v>
      </c>
      <c r="AD11" s="83">
        <f t="shared" ref="AD11:AD42" si="3">((($P11*$Q11*$Z11*$AB11)/$R11)/1000000)*$X11</f>
        <v>2420.2800000000002</v>
      </c>
      <c r="AE11" s="83">
        <f t="shared" ref="AE11:AE42" si="4">((($P11*$Q11*$AA11*$AC11)/$R11)/1000000)*$X11</f>
        <v>2420.2800000000002</v>
      </c>
      <c r="AF11" s="85"/>
      <c r="AG11" s="53"/>
      <c r="AH11" s="53"/>
      <c r="AI11" s="53"/>
      <c r="AJ11" s="53"/>
      <c r="AK11" s="107"/>
      <c r="AL11" s="107"/>
      <c r="AM11" s="111">
        <f t="shared" ref="AM11:AM42" si="5">AD11</f>
        <v>2420.2800000000002</v>
      </c>
      <c r="AN11" s="111">
        <f t="shared" ref="AN11:AN42" si="6">AE11</f>
        <v>2420.2800000000002</v>
      </c>
    </row>
    <row r="12" spans="1:40" s="29" customFormat="1" ht="15.75" x14ac:dyDescent="0.25">
      <c r="A12" s="53">
        <v>2</v>
      </c>
      <c r="B12" s="53"/>
      <c r="C12" s="53"/>
      <c r="D12" s="53" t="s">
        <v>135</v>
      </c>
      <c r="E12" s="53"/>
      <c r="F12" s="53"/>
      <c r="G12" s="53" t="s">
        <v>290</v>
      </c>
      <c r="H12" s="53" t="s">
        <v>291</v>
      </c>
      <c r="I12" s="85" t="s">
        <v>366</v>
      </c>
      <c r="J12" s="85" t="s">
        <v>756</v>
      </c>
      <c r="K12" s="85" t="s">
        <v>992</v>
      </c>
      <c r="L12" s="53" t="s">
        <v>404</v>
      </c>
      <c r="M12" s="53" t="s">
        <v>990</v>
      </c>
      <c r="N12" s="53"/>
      <c r="O12" s="85" t="s">
        <v>991</v>
      </c>
      <c r="P12" s="53">
        <v>1</v>
      </c>
      <c r="Q12" s="83">
        <v>702000</v>
      </c>
      <c r="R12" s="84">
        <v>0.8</v>
      </c>
      <c r="S12" s="53"/>
      <c r="T12" s="53"/>
      <c r="U12" s="137" t="s">
        <v>124</v>
      </c>
      <c r="V12" s="138" t="s">
        <v>111</v>
      </c>
      <c r="W12" s="83">
        <v>8760</v>
      </c>
      <c r="X12" s="139">
        <v>0.6</v>
      </c>
      <c r="Y12" s="139">
        <f t="shared" si="0"/>
        <v>0.61643835616438358</v>
      </c>
      <c r="Z12" s="139">
        <v>1</v>
      </c>
      <c r="AA12" s="139">
        <v>0</v>
      </c>
      <c r="AB12" s="83">
        <f t="shared" si="1"/>
        <v>2700</v>
      </c>
      <c r="AC12" s="83">
        <f t="shared" si="2"/>
        <v>2700</v>
      </c>
      <c r="AD12" s="83">
        <f t="shared" si="3"/>
        <v>1421.55</v>
      </c>
      <c r="AE12" s="83">
        <f t="shared" si="4"/>
        <v>0</v>
      </c>
      <c r="AF12" s="85"/>
      <c r="AG12" s="53"/>
      <c r="AH12" s="53"/>
      <c r="AI12" s="53"/>
      <c r="AJ12" s="53"/>
      <c r="AK12" s="53"/>
      <c r="AL12" s="53"/>
      <c r="AM12" s="111">
        <f t="shared" si="5"/>
        <v>1421.55</v>
      </c>
      <c r="AN12" s="111">
        <f t="shared" si="6"/>
        <v>0</v>
      </c>
    </row>
    <row r="13" spans="1:40" s="29" customFormat="1" ht="15.75" x14ac:dyDescent="0.25">
      <c r="A13" s="53">
        <v>3</v>
      </c>
      <c r="B13" s="53"/>
      <c r="C13" s="53"/>
      <c r="D13" s="53" t="s">
        <v>135</v>
      </c>
      <c r="E13" s="53"/>
      <c r="F13" s="53"/>
      <c r="G13" s="53" t="s">
        <v>290</v>
      </c>
      <c r="H13" s="53" t="s">
        <v>291</v>
      </c>
      <c r="I13" s="85" t="s">
        <v>366</v>
      </c>
      <c r="J13" s="85" t="s">
        <v>756</v>
      </c>
      <c r="K13" s="85" t="s">
        <v>993</v>
      </c>
      <c r="L13" s="53" t="s">
        <v>404</v>
      </c>
      <c r="M13" s="53" t="s">
        <v>990</v>
      </c>
      <c r="N13" s="53"/>
      <c r="O13" s="85" t="s">
        <v>991</v>
      </c>
      <c r="P13" s="53">
        <v>1</v>
      </c>
      <c r="Q13" s="83">
        <v>702000</v>
      </c>
      <c r="R13" s="84">
        <v>0.8</v>
      </c>
      <c r="S13" s="53"/>
      <c r="T13" s="53"/>
      <c r="U13" s="137" t="s">
        <v>124</v>
      </c>
      <c r="V13" s="138" t="s">
        <v>111</v>
      </c>
      <c r="W13" s="83">
        <v>8760</v>
      </c>
      <c r="X13" s="139">
        <v>0.6</v>
      </c>
      <c r="Y13" s="139">
        <f t="shared" si="0"/>
        <v>0.61643835616438358</v>
      </c>
      <c r="Z13" s="139">
        <v>1</v>
      </c>
      <c r="AA13" s="139">
        <v>0</v>
      </c>
      <c r="AB13" s="83">
        <f t="shared" si="1"/>
        <v>2700</v>
      </c>
      <c r="AC13" s="83">
        <f t="shared" si="2"/>
        <v>2700</v>
      </c>
      <c r="AD13" s="83">
        <f t="shared" si="3"/>
        <v>1421.55</v>
      </c>
      <c r="AE13" s="83">
        <f t="shared" si="4"/>
        <v>0</v>
      </c>
      <c r="AF13" s="85"/>
      <c r="AG13" s="53"/>
      <c r="AH13" s="53"/>
      <c r="AI13" s="53"/>
      <c r="AJ13" s="53"/>
      <c r="AK13" s="53"/>
      <c r="AL13" s="53"/>
      <c r="AM13" s="111">
        <f t="shared" si="5"/>
        <v>1421.55</v>
      </c>
      <c r="AN13" s="111">
        <f t="shared" si="6"/>
        <v>0</v>
      </c>
    </row>
    <row r="14" spans="1:40" s="29" customFormat="1" ht="15.75" x14ac:dyDescent="0.25">
      <c r="A14" s="53">
        <v>4</v>
      </c>
      <c r="B14" s="53"/>
      <c r="C14" s="53"/>
      <c r="D14" s="53" t="s">
        <v>135</v>
      </c>
      <c r="E14" s="53"/>
      <c r="F14" s="53"/>
      <c r="G14" s="53" t="s">
        <v>290</v>
      </c>
      <c r="H14" s="53" t="s">
        <v>291</v>
      </c>
      <c r="I14" s="85" t="s">
        <v>366</v>
      </c>
      <c r="J14" s="85" t="s">
        <v>756</v>
      </c>
      <c r="K14" s="85" t="s">
        <v>994</v>
      </c>
      <c r="L14" s="53" t="s">
        <v>404</v>
      </c>
      <c r="M14" s="53" t="s">
        <v>990</v>
      </c>
      <c r="N14" s="53"/>
      <c r="O14" s="85" t="s">
        <v>991</v>
      </c>
      <c r="P14" s="53">
        <v>1</v>
      </c>
      <c r="Q14" s="83">
        <v>702000</v>
      </c>
      <c r="R14" s="84">
        <v>0.8</v>
      </c>
      <c r="S14" s="53"/>
      <c r="T14" s="53"/>
      <c r="U14" s="137" t="s">
        <v>124</v>
      </c>
      <c r="V14" s="138" t="s">
        <v>111</v>
      </c>
      <c r="W14" s="83">
        <v>8760</v>
      </c>
      <c r="X14" s="139">
        <v>0.6</v>
      </c>
      <c r="Y14" s="139">
        <f t="shared" si="0"/>
        <v>0.61643835616438358</v>
      </c>
      <c r="Z14" s="139">
        <v>1</v>
      </c>
      <c r="AA14" s="139">
        <v>0</v>
      </c>
      <c r="AB14" s="83">
        <f t="shared" si="1"/>
        <v>2700</v>
      </c>
      <c r="AC14" s="83">
        <f t="shared" si="2"/>
        <v>2700</v>
      </c>
      <c r="AD14" s="83">
        <f t="shared" si="3"/>
        <v>1421.55</v>
      </c>
      <c r="AE14" s="83">
        <f t="shared" si="4"/>
        <v>0</v>
      </c>
      <c r="AF14" s="85"/>
      <c r="AG14" s="53"/>
      <c r="AH14" s="53"/>
      <c r="AI14" s="53"/>
      <c r="AJ14" s="53"/>
      <c r="AK14" s="53"/>
      <c r="AL14" s="53"/>
      <c r="AM14" s="111">
        <f t="shared" si="5"/>
        <v>1421.55</v>
      </c>
      <c r="AN14" s="111">
        <f t="shared" si="6"/>
        <v>0</v>
      </c>
    </row>
    <row r="15" spans="1:40" s="29" customFormat="1" ht="15.75" x14ac:dyDescent="0.25">
      <c r="A15" s="53">
        <v>5</v>
      </c>
      <c r="B15" s="53"/>
      <c r="C15" s="53"/>
      <c r="D15" s="53" t="s">
        <v>135</v>
      </c>
      <c r="E15" s="53"/>
      <c r="F15" s="53"/>
      <c r="G15" s="53" t="s">
        <v>290</v>
      </c>
      <c r="H15" s="53" t="s">
        <v>291</v>
      </c>
      <c r="I15" s="85" t="s">
        <v>366</v>
      </c>
      <c r="J15" s="85" t="s">
        <v>756</v>
      </c>
      <c r="K15" s="85" t="s">
        <v>995</v>
      </c>
      <c r="L15" s="53" t="s">
        <v>404</v>
      </c>
      <c r="M15" s="53" t="s">
        <v>990</v>
      </c>
      <c r="N15" s="53"/>
      <c r="O15" s="85" t="s">
        <v>991</v>
      </c>
      <c r="P15" s="53">
        <v>1</v>
      </c>
      <c r="Q15" s="83">
        <v>702000</v>
      </c>
      <c r="R15" s="84">
        <v>0.8</v>
      </c>
      <c r="S15" s="53"/>
      <c r="T15" s="53"/>
      <c r="U15" s="137" t="s">
        <v>124</v>
      </c>
      <c r="V15" s="138" t="s">
        <v>111</v>
      </c>
      <c r="W15" s="83">
        <v>8760</v>
      </c>
      <c r="X15" s="139">
        <v>0.6</v>
      </c>
      <c r="Y15" s="139">
        <f t="shared" si="0"/>
        <v>0.61643835616438358</v>
      </c>
      <c r="Z15" s="139">
        <v>1</v>
      </c>
      <c r="AA15" s="139">
        <v>0</v>
      </c>
      <c r="AB15" s="83">
        <f t="shared" si="1"/>
        <v>2700</v>
      </c>
      <c r="AC15" s="83">
        <f t="shared" si="2"/>
        <v>2700</v>
      </c>
      <c r="AD15" s="83">
        <f t="shared" si="3"/>
        <v>1421.55</v>
      </c>
      <c r="AE15" s="83">
        <f t="shared" si="4"/>
        <v>0</v>
      </c>
      <c r="AF15" s="85"/>
      <c r="AG15" s="53"/>
      <c r="AH15" s="53"/>
      <c r="AI15" s="53"/>
      <c r="AJ15" s="53"/>
      <c r="AK15" s="53"/>
      <c r="AL15" s="53"/>
      <c r="AM15" s="111">
        <f t="shared" si="5"/>
        <v>1421.55</v>
      </c>
      <c r="AN15" s="111">
        <f t="shared" si="6"/>
        <v>0</v>
      </c>
    </row>
    <row r="16" spans="1:40" s="29" customFormat="1" ht="15.75" x14ac:dyDescent="0.25">
      <c r="A16" s="53">
        <v>6</v>
      </c>
      <c r="B16" s="53"/>
      <c r="C16" s="53"/>
      <c r="D16" s="53" t="s">
        <v>135</v>
      </c>
      <c r="E16" s="53"/>
      <c r="F16" s="53"/>
      <c r="G16" s="53" t="s">
        <v>290</v>
      </c>
      <c r="H16" s="53" t="s">
        <v>291</v>
      </c>
      <c r="I16" s="85" t="s">
        <v>368</v>
      </c>
      <c r="J16" s="85" t="s">
        <v>758</v>
      </c>
      <c r="K16" s="85" t="s">
        <v>992</v>
      </c>
      <c r="L16" s="53" t="s">
        <v>404</v>
      </c>
      <c r="M16" s="53" t="s">
        <v>990</v>
      </c>
      <c r="N16" s="53"/>
      <c r="O16" s="85" t="s">
        <v>991</v>
      </c>
      <c r="P16" s="53">
        <v>1</v>
      </c>
      <c r="Q16" s="83">
        <v>398400</v>
      </c>
      <c r="R16" s="84">
        <v>0.8</v>
      </c>
      <c r="S16" s="53"/>
      <c r="T16" s="53"/>
      <c r="U16" s="137" t="s">
        <v>124</v>
      </c>
      <c r="V16" s="138" t="s">
        <v>118</v>
      </c>
      <c r="W16" s="83">
        <v>8760</v>
      </c>
      <c r="X16" s="139">
        <v>0.6</v>
      </c>
      <c r="Y16" s="139">
        <f t="shared" si="0"/>
        <v>0.61643835616438358</v>
      </c>
      <c r="Z16" s="139">
        <v>1</v>
      </c>
      <c r="AA16" s="139">
        <v>1</v>
      </c>
      <c r="AB16" s="83">
        <f t="shared" si="1"/>
        <v>2700</v>
      </c>
      <c r="AC16" s="83">
        <f t="shared" si="2"/>
        <v>2700</v>
      </c>
      <c r="AD16" s="83">
        <f t="shared" si="3"/>
        <v>806.75999999999988</v>
      </c>
      <c r="AE16" s="83">
        <f t="shared" si="4"/>
        <v>806.75999999999988</v>
      </c>
      <c r="AF16" s="85"/>
      <c r="AG16" s="53"/>
      <c r="AH16" s="53"/>
      <c r="AI16" s="53"/>
      <c r="AJ16" s="53"/>
      <c r="AK16" s="53"/>
      <c r="AL16" s="53"/>
      <c r="AM16" s="111">
        <f t="shared" si="5"/>
        <v>806.75999999999988</v>
      </c>
      <c r="AN16" s="111">
        <f t="shared" si="6"/>
        <v>806.75999999999988</v>
      </c>
    </row>
    <row r="17" spans="1:40" s="29" customFormat="1" ht="15.75" x14ac:dyDescent="0.25">
      <c r="A17" s="53">
        <v>7</v>
      </c>
      <c r="B17" s="53"/>
      <c r="C17" s="53"/>
      <c r="D17" s="53" t="s">
        <v>135</v>
      </c>
      <c r="E17" s="53"/>
      <c r="F17" s="53"/>
      <c r="G17" s="53" t="s">
        <v>290</v>
      </c>
      <c r="H17" s="53" t="s">
        <v>291</v>
      </c>
      <c r="I17" s="85" t="s">
        <v>368</v>
      </c>
      <c r="J17" s="85" t="s">
        <v>758</v>
      </c>
      <c r="K17" s="85" t="s">
        <v>993</v>
      </c>
      <c r="L17" s="53" t="s">
        <v>404</v>
      </c>
      <c r="M17" s="53" t="s">
        <v>990</v>
      </c>
      <c r="N17" s="53"/>
      <c r="O17" s="85" t="s">
        <v>991</v>
      </c>
      <c r="P17" s="53">
        <v>1</v>
      </c>
      <c r="Q17" s="83">
        <v>398400</v>
      </c>
      <c r="R17" s="84">
        <v>0.8</v>
      </c>
      <c r="S17" s="53"/>
      <c r="T17" s="53"/>
      <c r="U17" s="137" t="s">
        <v>124</v>
      </c>
      <c r="V17" s="138" t="s">
        <v>118</v>
      </c>
      <c r="W17" s="83">
        <v>8760</v>
      </c>
      <c r="X17" s="139">
        <v>0.6</v>
      </c>
      <c r="Y17" s="139">
        <f t="shared" si="0"/>
        <v>0.61643835616438358</v>
      </c>
      <c r="Z17" s="139">
        <v>1</v>
      </c>
      <c r="AA17" s="139">
        <v>1</v>
      </c>
      <c r="AB17" s="83">
        <f t="shared" si="1"/>
        <v>2700</v>
      </c>
      <c r="AC17" s="83">
        <f t="shared" si="2"/>
        <v>2700</v>
      </c>
      <c r="AD17" s="83">
        <f t="shared" si="3"/>
        <v>806.75999999999988</v>
      </c>
      <c r="AE17" s="83">
        <f t="shared" si="4"/>
        <v>806.75999999999988</v>
      </c>
      <c r="AF17" s="85"/>
      <c r="AG17" s="53"/>
      <c r="AH17" s="53"/>
      <c r="AI17" s="53"/>
      <c r="AJ17" s="53"/>
      <c r="AK17" s="53"/>
      <c r="AL17" s="53"/>
      <c r="AM17" s="111">
        <f t="shared" si="5"/>
        <v>806.75999999999988</v>
      </c>
      <c r="AN17" s="111">
        <f t="shared" si="6"/>
        <v>806.75999999999988</v>
      </c>
    </row>
    <row r="18" spans="1:40" s="29" customFormat="1" ht="15.75" x14ac:dyDescent="0.25">
      <c r="A18" s="53">
        <v>8</v>
      </c>
      <c r="B18" s="53"/>
      <c r="C18" s="53"/>
      <c r="D18" s="53" t="s">
        <v>135</v>
      </c>
      <c r="E18" s="53"/>
      <c r="F18" s="53"/>
      <c r="G18" s="53" t="s">
        <v>290</v>
      </c>
      <c r="H18" s="53" t="s">
        <v>291</v>
      </c>
      <c r="I18" s="85" t="s">
        <v>368</v>
      </c>
      <c r="J18" s="85" t="s">
        <v>758</v>
      </c>
      <c r="K18" s="85" t="s">
        <v>994</v>
      </c>
      <c r="L18" s="53" t="s">
        <v>404</v>
      </c>
      <c r="M18" s="53" t="s">
        <v>990</v>
      </c>
      <c r="N18" s="53"/>
      <c r="O18" s="85" t="s">
        <v>991</v>
      </c>
      <c r="P18" s="53">
        <v>1</v>
      </c>
      <c r="Q18" s="83">
        <v>398400</v>
      </c>
      <c r="R18" s="84">
        <v>0.8</v>
      </c>
      <c r="S18" s="53"/>
      <c r="T18" s="53"/>
      <c r="U18" s="137" t="s">
        <v>124</v>
      </c>
      <c r="V18" s="138" t="s">
        <v>118</v>
      </c>
      <c r="W18" s="83">
        <v>8760</v>
      </c>
      <c r="X18" s="139">
        <v>0.6</v>
      </c>
      <c r="Y18" s="139">
        <f t="shared" si="0"/>
        <v>0.61643835616438358</v>
      </c>
      <c r="Z18" s="139">
        <v>1</v>
      </c>
      <c r="AA18" s="139">
        <v>1</v>
      </c>
      <c r="AB18" s="83">
        <f t="shared" si="1"/>
        <v>2700</v>
      </c>
      <c r="AC18" s="83">
        <f t="shared" si="2"/>
        <v>2700</v>
      </c>
      <c r="AD18" s="83">
        <f t="shared" si="3"/>
        <v>806.75999999999988</v>
      </c>
      <c r="AE18" s="83">
        <f t="shared" si="4"/>
        <v>806.75999999999988</v>
      </c>
      <c r="AF18" s="85"/>
      <c r="AG18" s="53"/>
      <c r="AH18" s="53"/>
      <c r="AI18" s="53"/>
      <c r="AJ18" s="53"/>
      <c r="AK18" s="53"/>
      <c r="AL18" s="53"/>
      <c r="AM18" s="111">
        <f t="shared" si="5"/>
        <v>806.75999999999988</v>
      </c>
      <c r="AN18" s="111">
        <f t="shared" si="6"/>
        <v>806.75999999999988</v>
      </c>
    </row>
    <row r="19" spans="1:40" s="29" customFormat="1" ht="15.75" x14ac:dyDescent="0.25">
      <c r="A19" s="53">
        <v>9</v>
      </c>
      <c r="B19" s="53"/>
      <c r="C19" s="53"/>
      <c r="D19" s="53" t="s">
        <v>135</v>
      </c>
      <c r="E19" s="53"/>
      <c r="F19" s="53"/>
      <c r="G19" s="53" t="s">
        <v>290</v>
      </c>
      <c r="H19" s="53" t="s">
        <v>291</v>
      </c>
      <c r="I19" s="85" t="s">
        <v>455</v>
      </c>
      <c r="J19" s="85" t="s">
        <v>458</v>
      </c>
      <c r="K19" s="85" t="s">
        <v>989</v>
      </c>
      <c r="L19" s="53" t="s">
        <v>404</v>
      </c>
      <c r="M19" s="53" t="s">
        <v>990</v>
      </c>
      <c r="N19" s="53"/>
      <c r="O19" s="85" t="s">
        <v>991</v>
      </c>
      <c r="P19" s="53">
        <v>1</v>
      </c>
      <c r="Q19" s="83">
        <v>1195200</v>
      </c>
      <c r="R19" s="84">
        <v>0.8</v>
      </c>
      <c r="S19" s="53"/>
      <c r="T19" s="53"/>
      <c r="U19" s="137" t="s">
        <v>124</v>
      </c>
      <c r="V19" s="138" t="s">
        <v>118</v>
      </c>
      <c r="W19" s="83">
        <v>8760</v>
      </c>
      <c r="X19" s="139">
        <v>0.6</v>
      </c>
      <c r="Y19" s="139">
        <f t="shared" si="0"/>
        <v>0.61643835616438358</v>
      </c>
      <c r="Z19" s="139">
        <v>1</v>
      </c>
      <c r="AA19" s="139">
        <v>1</v>
      </c>
      <c r="AB19" s="83">
        <f t="shared" si="1"/>
        <v>2700</v>
      </c>
      <c r="AC19" s="83">
        <f t="shared" si="2"/>
        <v>2700</v>
      </c>
      <c r="AD19" s="83">
        <f t="shared" si="3"/>
        <v>2420.2800000000002</v>
      </c>
      <c r="AE19" s="83">
        <f t="shared" si="4"/>
        <v>2420.2800000000002</v>
      </c>
      <c r="AF19" s="85"/>
      <c r="AG19" s="53"/>
      <c r="AH19" s="53"/>
      <c r="AI19" s="53"/>
      <c r="AJ19" s="53"/>
      <c r="AK19" s="53"/>
      <c r="AL19" s="53"/>
      <c r="AM19" s="111">
        <f t="shared" si="5"/>
        <v>2420.2800000000002</v>
      </c>
      <c r="AN19" s="111">
        <f t="shared" si="6"/>
        <v>2420.2800000000002</v>
      </c>
    </row>
    <row r="20" spans="1:40" s="29" customFormat="1" ht="15.75" x14ac:dyDescent="0.25">
      <c r="A20" s="53">
        <v>10</v>
      </c>
      <c r="B20" s="53"/>
      <c r="C20" s="53"/>
      <c r="D20" s="53" t="s">
        <v>135</v>
      </c>
      <c r="E20" s="53"/>
      <c r="F20" s="53"/>
      <c r="G20" s="53" t="s">
        <v>290</v>
      </c>
      <c r="H20" s="53" t="s">
        <v>291</v>
      </c>
      <c r="I20" s="85" t="s">
        <v>366</v>
      </c>
      <c r="J20" s="85" t="s">
        <v>996</v>
      </c>
      <c r="K20" s="85" t="s">
        <v>992</v>
      </c>
      <c r="L20" s="53" t="s">
        <v>404</v>
      </c>
      <c r="M20" s="53" t="s">
        <v>990</v>
      </c>
      <c r="N20" s="53"/>
      <c r="O20" s="85" t="s">
        <v>991</v>
      </c>
      <c r="P20" s="53">
        <v>1</v>
      </c>
      <c r="Q20" s="83">
        <v>1404000</v>
      </c>
      <c r="R20" s="84">
        <v>0.8</v>
      </c>
      <c r="S20" s="53"/>
      <c r="T20" s="53"/>
      <c r="U20" s="137" t="s">
        <v>124</v>
      </c>
      <c r="V20" s="138" t="s">
        <v>118</v>
      </c>
      <c r="W20" s="83">
        <v>8760</v>
      </c>
      <c r="X20" s="139">
        <v>0.6</v>
      </c>
      <c r="Y20" s="139">
        <f t="shared" si="0"/>
        <v>0.61643835616438358</v>
      </c>
      <c r="Z20" s="139">
        <v>1</v>
      </c>
      <c r="AA20" s="139">
        <v>1</v>
      </c>
      <c r="AB20" s="83">
        <f t="shared" si="1"/>
        <v>2700</v>
      </c>
      <c r="AC20" s="83">
        <f t="shared" si="2"/>
        <v>2700</v>
      </c>
      <c r="AD20" s="83">
        <f t="shared" si="3"/>
        <v>2843.1</v>
      </c>
      <c r="AE20" s="83">
        <f t="shared" si="4"/>
        <v>2843.1</v>
      </c>
      <c r="AF20" s="85"/>
      <c r="AG20" s="53"/>
      <c r="AH20" s="53"/>
      <c r="AI20" s="53"/>
      <c r="AJ20" s="53"/>
      <c r="AK20" s="53"/>
      <c r="AL20" s="53"/>
      <c r="AM20" s="111">
        <f t="shared" si="5"/>
        <v>2843.1</v>
      </c>
      <c r="AN20" s="111">
        <f t="shared" si="6"/>
        <v>2843.1</v>
      </c>
    </row>
    <row r="21" spans="1:40" s="29" customFormat="1" ht="15.75" x14ac:dyDescent="0.25">
      <c r="A21" s="53">
        <v>11</v>
      </c>
      <c r="B21" s="53"/>
      <c r="C21" s="53"/>
      <c r="D21" s="53" t="s">
        <v>135</v>
      </c>
      <c r="E21" s="53"/>
      <c r="F21" s="53"/>
      <c r="G21" s="53" t="s">
        <v>290</v>
      </c>
      <c r="H21" s="53" t="s">
        <v>291</v>
      </c>
      <c r="I21" s="85" t="s">
        <v>366</v>
      </c>
      <c r="J21" s="85" t="s">
        <v>996</v>
      </c>
      <c r="K21" s="85" t="s">
        <v>993</v>
      </c>
      <c r="L21" s="53" t="s">
        <v>404</v>
      </c>
      <c r="M21" s="53" t="s">
        <v>990</v>
      </c>
      <c r="N21" s="53"/>
      <c r="O21" s="85" t="s">
        <v>991</v>
      </c>
      <c r="P21" s="53">
        <v>1</v>
      </c>
      <c r="Q21" s="83">
        <v>1404000</v>
      </c>
      <c r="R21" s="84">
        <v>0.8</v>
      </c>
      <c r="S21" s="53"/>
      <c r="T21" s="53"/>
      <c r="U21" s="137" t="s">
        <v>124</v>
      </c>
      <c r="V21" s="138" t="s">
        <v>118</v>
      </c>
      <c r="W21" s="83">
        <v>8760</v>
      </c>
      <c r="X21" s="139">
        <v>0.6</v>
      </c>
      <c r="Y21" s="139">
        <f t="shared" si="0"/>
        <v>0.61643835616438358</v>
      </c>
      <c r="Z21" s="139">
        <v>1</v>
      </c>
      <c r="AA21" s="139">
        <v>1</v>
      </c>
      <c r="AB21" s="83">
        <f t="shared" si="1"/>
        <v>2700</v>
      </c>
      <c r="AC21" s="83">
        <f t="shared" si="2"/>
        <v>2700</v>
      </c>
      <c r="AD21" s="83">
        <f t="shared" si="3"/>
        <v>2843.1</v>
      </c>
      <c r="AE21" s="83">
        <f t="shared" si="4"/>
        <v>2843.1</v>
      </c>
      <c r="AF21" s="85"/>
      <c r="AG21" s="53"/>
      <c r="AH21" s="53"/>
      <c r="AI21" s="53"/>
      <c r="AJ21" s="53"/>
      <c r="AK21" s="53"/>
      <c r="AL21" s="53"/>
      <c r="AM21" s="111">
        <f t="shared" si="5"/>
        <v>2843.1</v>
      </c>
      <c r="AN21" s="111">
        <f t="shared" si="6"/>
        <v>2843.1</v>
      </c>
    </row>
    <row r="22" spans="1:40" s="29" customFormat="1" ht="15.75" x14ac:dyDescent="0.25">
      <c r="A22" s="53">
        <v>12</v>
      </c>
      <c r="B22" s="53"/>
      <c r="C22" s="53"/>
      <c r="D22" s="53" t="s">
        <v>135</v>
      </c>
      <c r="E22" s="53"/>
      <c r="F22" s="53"/>
      <c r="G22" s="53" t="s">
        <v>290</v>
      </c>
      <c r="H22" s="53" t="s">
        <v>291</v>
      </c>
      <c r="I22" s="85" t="s">
        <v>368</v>
      </c>
      <c r="J22" s="85" t="s">
        <v>749</v>
      </c>
      <c r="K22" s="85" t="s">
        <v>989</v>
      </c>
      <c r="L22" s="53" t="s">
        <v>404</v>
      </c>
      <c r="M22" s="53" t="s">
        <v>990</v>
      </c>
      <c r="N22" s="53"/>
      <c r="O22" s="85" t="s">
        <v>991</v>
      </c>
      <c r="P22" s="53">
        <v>1</v>
      </c>
      <c r="Q22" s="83">
        <v>1195200</v>
      </c>
      <c r="R22" s="84">
        <v>0.8</v>
      </c>
      <c r="S22" s="53"/>
      <c r="T22" s="53"/>
      <c r="U22" s="137" t="s">
        <v>124</v>
      </c>
      <c r="V22" s="138" t="s">
        <v>118</v>
      </c>
      <c r="W22" s="83">
        <v>8760</v>
      </c>
      <c r="X22" s="139">
        <v>0.6</v>
      </c>
      <c r="Y22" s="139">
        <f t="shared" si="0"/>
        <v>0.61643835616438358</v>
      </c>
      <c r="Z22" s="139">
        <v>1</v>
      </c>
      <c r="AA22" s="139">
        <v>1</v>
      </c>
      <c r="AB22" s="83">
        <f t="shared" si="1"/>
        <v>2700</v>
      </c>
      <c r="AC22" s="83">
        <f t="shared" si="2"/>
        <v>2700</v>
      </c>
      <c r="AD22" s="83">
        <f t="shared" si="3"/>
        <v>2420.2800000000002</v>
      </c>
      <c r="AE22" s="83">
        <f t="shared" si="4"/>
        <v>2420.2800000000002</v>
      </c>
      <c r="AF22" s="85"/>
      <c r="AG22" s="53"/>
      <c r="AH22" s="53"/>
      <c r="AI22" s="53"/>
      <c r="AJ22" s="53"/>
      <c r="AK22" s="53"/>
      <c r="AL22" s="53"/>
      <c r="AM22" s="111">
        <f t="shared" si="5"/>
        <v>2420.2800000000002</v>
      </c>
      <c r="AN22" s="111">
        <f t="shared" si="6"/>
        <v>2420.2800000000002</v>
      </c>
    </row>
    <row r="23" spans="1:40" s="29" customFormat="1" ht="15.75" x14ac:dyDescent="0.25">
      <c r="A23" s="53">
        <v>13</v>
      </c>
      <c r="B23" s="53"/>
      <c r="C23" s="53"/>
      <c r="D23" s="53" t="s">
        <v>135</v>
      </c>
      <c r="E23" s="53"/>
      <c r="F23" s="53"/>
      <c r="G23" s="53" t="s">
        <v>290</v>
      </c>
      <c r="H23" s="53" t="s">
        <v>291</v>
      </c>
      <c r="I23" s="85" t="s">
        <v>358</v>
      </c>
      <c r="J23" s="85" t="s">
        <v>359</v>
      </c>
      <c r="K23" s="85" t="s">
        <v>989</v>
      </c>
      <c r="L23" s="53" t="s">
        <v>404</v>
      </c>
      <c r="M23" s="53" t="s">
        <v>990</v>
      </c>
      <c r="N23" s="53"/>
      <c r="O23" s="85" t="s">
        <v>991</v>
      </c>
      <c r="P23" s="53">
        <v>1</v>
      </c>
      <c r="Q23" s="83">
        <v>1123200</v>
      </c>
      <c r="R23" s="84">
        <v>0.8</v>
      </c>
      <c r="S23" s="53"/>
      <c r="T23" s="53"/>
      <c r="U23" s="137" t="s">
        <v>124</v>
      </c>
      <c r="V23" s="138" t="s">
        <v>118</v>
      </c>
      <c r="W23" s="83">
        <v>8760</v>
      </c>
      <c r="X23" s="139">
        <v>0.6</v>
      </c>
      <c r="Y23" s="139">
        <f t="shared" si="0"/>
        <v>0.61643835616438358</v>
      </c>
      <c r="Z23" s="139">
        <v>1</v>
      </c>
      <c r="AA23" s="139">
        <v>1</v>
      </c>
      <c r="AB23" s="83">
        <f t="shared" si="1"/>
        <v>2700</v>
      </c>
      <c r="AC23" s="83">
        <f t="shared" si="2"/>
        <v>2700</v>
      </c>
      <c r="AD23" s="83">
        <f t="shared" si="3"/>
        <v>2274.48</v>
      </c>
      <c r="AE23" s="83">
        <f t="shared" si="4"/>
        <v>2274.48</v>
      </c>
      <c r="AF23" s="85"/>
      <c r="AG23" s="53"/>
      <c r="AH23" s="53"/>
      <c r="AI23" s="53"/>
      <c r="AJ23" s="53"/>
      <c r="AK23" s="53"/>
      <c r="AL23" s="53"/>
      <c r="AM23" s="111">
        <f t="shared" si="5"/>
        <v>2274.48</v>
      </c>
      <c r="AN23" s="111">
        <f t="shared" si="6"/>
        <v>2274.48</v>
      </c>
    </row>
    <row r="24" spans="1:40" s="29" customFormat="1" ht="15.75" x14ac:dyDescent="0.25">
      <c r="A24" s="53">
        <v>14</v>
      </c>
      <c r="B24" s="53"/>
      <c r="C24" s="53"/>
      <c r="D24" s="53" t="s">
        <v>135</v>
      </c>
      <c r="E24" s="53"/>
      <c r="F24" s="53"/>
      <c r="G24" s="53" t="s">
        <v>290</v>
      </c>
      <c r="H24" s="53" t="s">
        <v>291</v>
      </c>
      <c r="I24" s="85" t="s">
        <v>477</v>
      </c>
      <c r="J24" s="85" t="s">
        <v>423</v>
      </c>
      <c r="K24" s="85" t="s">
        <v>989</v>
      </c>
      <c r="L24" s="53" t="s">
        <v>404</v>
      </c>
      <c r="M24" s="53" t="s">
        <v>990</v>
      </c>
      <c r="N24" s="53"/>
      <c r="O24" s="85" t="s">
        <v>991</v>
      </c>
      <c r="P24" s="53">
        <v>1</v>
      </c>
      <c r="Q24" s="83">
        <v>1123200</v>
      </c>
      <c r="R24" s="84">
        <v>0.8</v>
      </c>
      <c r="S24" s="53"/>
      <c r="T24" s="53"/>
      <c r="U24" s="137" t="s">
        <v>124</v>
      </c>
      <c r="V24" s="138" t="s">
        <v>118</v>
      </c>
      <c r="W24" s="83">
        <v>8760</v>
      </c>
      <c r="X24" s="139">
        <v>0.6</v>
      </c>
      <c r="Y24" s="139">
        <f t="shared" si="0"/>
        <v>0.61643835616438358</v>
      </c>
      <c r="Z24" s="139">
        <v>1</v>
      </c>
      <c r="AA24" s="139">
        <v>1</v>
      </c>
      <c r="AB24" s="83">
        <f t="shared" si="1"/>
        <v>2700</v>
      </c>
      <c r="AC24" s="83">
        <f t="shared" si="2"/>
        <v>2700</v>
      </c>
      <c r="AD24" s="83">
        <f t="shared" si="3"/>
        <v>2274.48</v>
      </c>
      <c r="AE24" s="83">
        <f t="shared" si="4"/>
        <v>2274.48</v>
      </c>
      <c r="AF24" s="85"/>
      <c r="AG24" s="53"/>
      <c r="AH24" s="53"/>
      <c r="AI24" s="53"/>
      <c r="AJ24" s="53"/>
      <c r="AK24" s="53"/>
      <c r="AL24" s="53"/>
      <c r="AM24" s="111">
        <f t="shared" si="5"/>
        <v>2274.48</v>
      </c>
      <c r="AN24" s="111">
        <f t="shared" si="6"/>
        <v>2274.48</v>
      </c>
    </row>
    <row r="25" spans="1:40" s="29" customFormat="1" ht="15.75" x14ac:dyDescent="0.25">
      <c r="A25" s="53">
        <v>15</v>
      </c>
      <c r="B25" s="53"/>
      <c r="C25" s="53"/>
      <c r="D25" s="53" t="s">
        <v>135</v>
      </c>
      <c r="E25" s="53"/>
      <c r="F25" s="53"/>
      <c r="G25" s="53" t="s">
        <v>290</v>
      </c>
      <c r="H25" s="53" t="s">
        <v>291</v>
      </c>
      <c r="I25" s="85" t="s">
        <v>554</v>
      </c>
      <c r="J25" s="85" t="s">
        <v>555</v>
      </c>
      <c r="K25" s="85" t="s">
        <v>989</v>
      </c>
      <c r="L25" s="53" t="s">
        <v>404</v>
      </c>
      <c r="M25" s="53" t="s">
        <v>990</v>
      </c>
      <c r="N25" s="53"/>
      <c r="O25" s="85" t="s">
        <v>991</v>
      </c>
      <c r="P25" s="53">
        <v>1</v>
      </c>
      <c r="Q25" s="83">
        <v>1123200</v>
      </c>
      <c r="R25" s="84">
        <v>0.8</v>
      </c>
      <c r="S25" s="53"/>
      <c r="T25" s="53"/>
      <c r="U25" s="137" t="s">
        <v>124</v>
      </c>
      <c r="V25" s="138" t="s">
        <v>118</v>
      </c>
      <c r="W25" s="83">
        <v>8760</v>
      </c>
      <c r="X25" s="139">
        <v>0.6</v>
      </c>
      <c r="Y25" s="139">
        <f t="shared" si="0"/>
        <v>0.61643835616438358</v>
      </c>
      <c r="Z25" s="139">
        <v>1</v>
      </c>
      <c r="AA25" s="139">
        <v>1</v>
      </c>
      <c r="AB25" s="83">
        <f t="shared" si="1"/>
        <v>2700</v>
      </c>
      <c r="AC25" s="83">
        <f t="shared" si="2"/>
        <v>2700</v>
      </c>
      <c r="AD25" s="83">
        <f t="shared" si="3"/>
        <v>2274.48</v>
      </c>
      <c r="AE25" s="83">
        <f t="shared" si="4"/>
        <v>2274.48</v>
      </c>
      <c r="AF25" s="85"/>
      <c r="AG25" s="53"/>
      <c r="AH25" s="53"/>
      <c r="AI25" s="53"/>
      <c r="AJ25" s="53"/>
      <c r="AK25" s="53"/>
      <c r="AL25" s="53"/>
      <c r="AM25" s="111">
        <f t="shared" si="5"/>
        <v>2274.48</v>
      </c>
      <c r="AN25" s="111">
        <f t="shared" si="6"/>
        <v>2274.48</v>
      </c>
    </row>
    <row r="26" spans="1:40" s="29" customFormat="1" ht="15.75" x14ac:dyDescent="0.25">
      <c r="A26" s="53">
        <v>16</v>
      </c>
      <c r="B26" s="53"/>
      <c r="C26" s="53"/>
      <c r="D26" s="53" t="s">
        <v>135</v>
      </c>
      <c r="E26" s="53"/>
      <c r="F26" s="53"/>
      <c r="G26" s="53" t="s">
        <v>290</v>
      </c>
      <c r="H26" s="53" t="s">
        <v>291</v>
      </c>
      <c r="I26" s="85" t="s">
        <v>487</v>
      </c>
      <c r="J26" s="85" t="s">
        <v>436</v>
      </c>
      <c r="K26" s="85" t="s">
        <v>989</v>
      </c>
      <c r="L26" s="53" t="s">
        <v>404</v>
      </c>
      <c r="M26" s="53" t="s">
        <v>990</v>
      </c>
      <c r="N26" s="53"/>
      <c r="O26" s="85" t="s">
        <v>991</v>
      </c>
      <c r="P26" s="53">
        <v>1</v>
      </c>
      <c r="Q26" s="83">
        <v>1123200</v>
      </c>
      <c r="R26" s="84">
        <v>0.8</v>
      </c>
      <c r="S26" s="53"/>
      <c r="T26" s="53"/>
      <c r="U26" s="137" t="s">
        <v>124</v>
      </c>
      <c r="V26" s="138" t="s">
        <v>118</v>
      </c>
      <c r="W26" s="83">
        <v>8760</v>
      </c>
      <c r="X26" s="139">
        <v>0.6</v>
      </c>
      <c r="Y26" s="139">
        <f t="shared" si="0"/>
        <v>0.61643835616438358</v>
      </c>
      <c r="Z26" s="139">
        <v>1</v>
      </c>
      <c r="AA26" s="139">
        <v>1</v>
      </c>
      <c r="AB26" s="83">
        <f t="shared" si="1"/>
        <v>2700</v>
      </c>
      <c r="AC26" s="83">
        <f t="shared" si="2"/>
        <v>2700</v>
      </c>
      <c r="AD26" s="83">
        <f t="shared" si="3"/>
        <v>2274.48</v>
      </c>
      <c r="AE26" s="83">
        <f t="shared" si="4"/>
        <v>2274.48</v>
      </c>
      <c r="AF26" s="85"/>
      <c r="AG26" s="53"/>
      <c r="AH26" s="53"/>
      <c r="AI26" s="53"/>
      <c r="AJ26" s="53"/>
      <c r="AK26" s="53"/>
      <c r="AL26" s="53"/>
      <c r="AM26" s="111">
        <f t="shared" si="5"/>
        <v>2274.48</v>
      </c>
      <c r="AN26" s="111">
        <f t="shared" si="6"/>
        <v>2274.48</v>
      </c>
    </row>
    <row r="27" spans="1:40" s="29" customFormat="1" ht="15.75" x14ac:dyDescent="0.25">
      <c r="A27" s="53">
        <v>17</v>
      </c>
      <c r="B27" s="53"/>
      <c r="C27" s="53"/>
      <c r="D27" s="53" t="s">
        <v>135</v>
      </c>
      <c r="E27" s="53"/>
      <c r="F27" s="53"/>
      <c r="G27" s="53" t="s">
        <v>290</v>
      </c>
      <c r="H27" s="53" t="s">
        <v>291</v>
      </c>
      <c r="I27" s="85" t="s">
        <v>387</v>
      </c>
      <c r="J27" s="85" t="s">
        <v>388</v>
      </c>
      <c r="K27" s="85" t="s">
        <v>989</v>
      </c>
      <c r="L27" s="53" t="s">
        <v>404</v>
      </c>
      <c r="M27" s="53" t="s">
        <v>990</v>
      </c>
      <c r="N27" s="53"/>
      <c r="O27" s="85" t="s">
        <v>991</v>
      </c>
      <c r="P27" s="53">
        <v>1</v>
      </c>
      <c r="Q27" s="83">
        <v>1123200</v>
      </c>
      <c r="R27" s="84">
        <v>0.8</v>
      </c>
      <c r="S27" s="53"/>
      <c r="T27" s="53"/>
      <c r="U27" s="137" t="s">
        <v>124</v>
      </c>
      <c r="V27" s="138" t="s">
        <v>118</v>
      </c>
      <c r="W27" s="83">
        <v>8760</v>
      </c>
      <c r="X27" s="139">
        <v>0.6</v>
      </c>
      <c r="Y27" s="139">
        <f t="shared" si="0"/>
        <v>0.61643835616438358</v>
      </c>
      <c r="Z27" s="139">
        <v>1</v>
      </c>
      <c r="AA27" s="139">
        <v>1</v>
      </c>
      <c r="AB27" s="83">
        <f t="shared" si="1"/>
        <v>2700</v>
      </c>
      <c r="AC27" s="83">
        <f t="shared" si="2"/>
        <v>2700</v>
      </c>
      <c r="AD27" s="83">
        <f t="shared" si="3"/>
        <v>2274.48</v>
      </c>
      <c r="AE27" s="83">
        <f t="shared" si="4"/>
        <v>2274.48</v>
      </c>
      <c r="AF27" s="85"/>
      <c r="AG27" s="53"/>
      <c r="AH27" s="53"/>
      <c r="AI27" s="53"/>
      <c r="AJ27" s="53"/>
      <c r="AK27" s="53"/>
      <c r="AL27" s="53"/>
      <c r="AM27" s="111">
        <f t="shared" si="5"/>
        <v>2274.48</v>
      </c>
      <c r="AN27" s="111">
        <f t="shared" si="6"/>
        <v>2274.48</v>
      </c>
    </row>
    <row r="28" spans="1:40" s="29" customFormat="1" ht="15.75" x14ac:dyDescent="0.25">
      <c r="A28" s="53">
        <v>18</v>
      </c>
      <c r="B28" s="53"/>
      <c r="C28" s="53"/>
      <c r="D28" s="53" t="s">
        <v>135</v>
      </c>
      <c r="E28" s="53"/>
      <c r="F28" s="53"/>
      <c r="G28" s="53" t="s">
        <v>290</v>
      </c>
      <c r="H28" s="53" t="s">
        <v>291</v>
      </c>
      <c r="I28" s="85" t="s">
        <v>389</v>
      </c>
      <c r="J28" s="85" t="s">
        <v>390</v>
      </c>
      <c r="K28" s="85" t="s">
        <v>989</v>
      </c>
      <c r="L28" s="53" t="s">
        <v>404</v>
      </c>
      <c r="M28" s="53" t="s">
        <v>990</v>
      </c>
      <c r="N28" s="53"/>
      <c r="O28" s="85" t="s">
        <v>991</v>
      </c>
      <c r="P28" s="53">
        <v>1</v>
      </c>
      <c r="Q28" s="83">
        <v>1123200</v>
      </c>
      <c r="R28" s="84">
        <v>0.8</v>
      </c>
      <c r="S28" s="53"/>
      <c r="T28" s="53"/>
      <c r="U28" s="137" t="s">
        <v>124</v>
      </c>
      <c r="V28" s="138" t="s">
        <v>118</v>
      </c>
      <c r="W28" s="83">
        <v>8760</v>
      </c>
      <c r="X28" s="139">
        <v>0.6</v>
      </c>
      <c r="Y28" s="139">
        <f t="shared" si="0"/>
        <v>0.61643835616438358</v>
      </c>
      <c r="Z28" s="139">
        <v>1</v>
      </c>
      <c r="AA28" s="139">
        <v>1</v>
      </c>
      <c r="AB28" s="83">
        <f t="shared" si="1"/>
        <v>2700</v>
      </c>
      <c r="AC28" s="83">
        <f t="shared" si="2"/>
        <v>2700</v>
      </c>
      <c r="AD28" s="83">
        <f t="shared" si="3"/>
        <v>2274.48</v>
      </c>
      <c r="AE28" s="83">
        <f t="shared" si="4"/>
        <v>2274.48</v>
      </c>
      <c r="AF28" s="85"/>
      <c r="AG28" s="53"/>
      <c r="AH28" s="53"/>
      <c r="AI28" s="53"/>
      <c r="AJ28" s="53"/>
      <c r="AK28" s="53"/>
      <c r="AL28" s="53"/>
      <c r="AM28" s="111">
        <f t="shared" si="5"/>
        <v>2274.48</v>
      </c>
      <c r="AN28" s="111">
        <f t="shared" si="6"/>
        <v>2274.48</v>
      </c>
    </row>
    <row r="29" spans="1:40" s="29" customFormat="1" ht="15.75" x14ac:dyDescent="0.25">
      <c r="A29" s="53">
        <v>19</v>
      </c>
      <c r="B29" s="53"/>
      <c r="C29" s="53"/>
      <c r="D29" s="53" t="s">
        <v>135</v>
      </c>
      <c r="E29" s="53"/>
      <c r="F29" s="53"/>
      <c r="G29" s="53" t="s">
        <v>290</v>
      </c>
      <c r="H29" s="53" t="s">
        <v>291</v>
      </c>
      <c r="I29" s="85" t="s">
        <v>584</v>
      </c>
      <c r="J29" s="85" t="s">
        <v>585</v>
      </c>
      <c r="K29" s="85" t="s">
        <v>989</v>
      </c>
      <c r="L29" s="53" t="s">
        <v>404</v>
      </c>
      <c r="M29" s="53" t="s">
        <v>990</v>
      </c>
      <c r="N29" s="53"/>
      <c r="O29" s="85" t="s">
        <v>991</v>
      </c>
      <c r="P29" s="53">
        <v>1</v>
      </c>
      <c r="Q29" s="83">
        <v>561600</v>
      </c>
      <c r="R29" s="84">
        <v>0.8</v>
      </c>
      <c r="S29" s="53"/>
      <c r="T29" s="53"/>
      <c r="U29" s="137" t="s">
        <v>124</v>
      </c>
      <c r="V29" s="138" t="s">
        <v>118</v>
      </c>
      <c r="W29" s="83">
        <v>8760</v>
      </c>
      <c r="X29" s="139">
        <v>0.6</v>
      </c>
      <c r="Y29" s="139">
        <f t="shared" si="0"/>
        <v>0.61643835616438358</v>
      </c>
      <c r="Z29" s="139">
        <v>1</v>
      </c>
      <c r="AA29" s="139">
        <v>1</v>
      </c>
      <c r="AB29" s="83">
        <f t="shared" si="1"/>
        <v>2700</v>
      </c>
      <c r="AC29" s="83">
        <f t="shared" si="2"/>
        <v>2700</v>
      </c>
      <c r="AD29" s="83">
        <f t="shared" si="3"/>
        <v>1137.24</v>
      </c>
      <c r="AE29" s="83">
        <f t="shared" si="4"/>
        <v>1137.24</v>
      </c>
      <c r="AF29" s="85"/>
      <c r="AG29" s="53"/>
      <c r="AH29" s="53"/>
      <c r="AI29" s="53"/>
      <c r="AJ29" s="53"/>
      <c r="AK29" s="53"/>
      <c r="AL29" s="53"/>
      <c r="AM29" s="111">
        <f t="shared" si="5"/>
        <v>1137.24</v>
      </c>
      <c r="AN29" s="111">
        <f t="shared" si="6"/>
        <v>1137.24</v>
      </c>
    </row>
    <row r="30" spans="1:40" s="29" customFormat="1" ht="15.75" x14ac:dyDescent="0.25">
      <c r="A30" s="53">
        <v>20</v>
      </c>
      <c r="B30" s="53"/>
      <c r="C30" s="53"/>
      <c r="D30" s="53" t="s">
        <v>135</v>
      </c>
      <c r="E30" s="53"/>
      <c r="F30" s="53"/>
      <c r="G30" s="53" t="s">
        <v>290</v>
      </c>
      <c r="H30" s="53" t="s">
        <v>291</v>
      </c>
      <c r="I30" s="85" t="s">
        <v>537</v>
      </c>
      <c r="J30" s="85" t="s">
        <v>997</v>
      </c>
      <c r="K30" s="85" t="s">
        <v>989</v>
      </c>
      <c r="L30" s="53" t="s">
        <v>998</v>
      </c>
      <c r="M30" s="53" t="s">
        <v>990</v>
      </c>
      <c r="N30" s="53"/>
      <c r="O30" s="85" t="s">
        <v>991</v>
      </c>
      <c r="P30" s="53">
        <v>1</v>
      </c>
      <c r="Q30" s="83">
        <v>243000</v>
      </c>
      <c r="R30" s="84">
        <v>0.8</v>
      </c>
      <c r="S30" s="53"/>
      <c r="T30" s="53"/>
      <c r="U30" s="137" t="s">
        <v>124</v>
      </c>
      <c r="V30" s="138" t="s">
        <v>118</v>
      </c>
      <c r="W30" s="83">
        <v>8760</v>
      </c>
      <c r="X30" s="139">
        <v>0.6</v>
      </c>
      <c r="Y30" s="139">
        <f t="shared" si="0"/>
        <v>0.61643835616438358</v>
      </c>
      <c r="Z30" s="139">
        <v>1</v>
      </c>
      <c r="AA30" s="139">
        <v>1</v>
      </c>
      <c r="AB30" s="83">
        <f t="shared" si="1"/>
        <v>2700</v>
      </c>
      <c r="AC30" s="83">
        <f t="shared" si="2"/>
        <v>2700</v>
      </c>
      <c r="AD30" s="83">
        <f t="shared" si="3"/>
        <v>492.07499999999999</v>
      </c>
      <c r="AE30" s="83">
        <f t="shared" si="4"/>
        <v>492.07499999999999</v>
      </c>
      <c r="AF30" s="85"/>
      <c r="AG30" s="53"/>
      <c r="AH30" s="53"/>
      <c r="AI30" s="53"/>
      <c r="AJ30" s="53"/>
      <c r="AK30" s="53"/>
      <c r="AL30" s="53"/>
      <c r="AM30" s="111">
        <f t="shared" si="5"/>
        <v>492.07499999999999</v>
      </c>
      <c r="AN30" s="111">
        <f t="shared" si="6"/>
        <v>492.07499999999999</v>
      </c>
    </row>
    <row r="31" spans="1:40" s="29" customFormat="1" ht="15.75" x14ac:dyDescent="0.25">
      <c r="A31" s="53">
        <v>21</v>
      </c>
      <c r="B31" s="53"/>
      <c r="C31" s="53"/>
      <c r="D31" s="53" t="s">
        <v>135</v>
      </c>
      <c r="E31" s="53"/>
      <c r="F31" s="53"/>
      <c r="G31" s="53" t="s">
        <v>290</v>
      </c>
      <c r="H31" s="53" t="s">
        <v>291</v>
      </c>
      <c r="I31" s="85" t="s">
        <v>537</v>
      </c>
      <c r="J31" s="85" t="s">
        <v>997</v>
      </c>
      <c r="K31" s="85" t="s">
        <v>989</v>
      </c>
      <c r="L31" s="53" t="s">
        <v>998</v>
      </c>
      <c r="M31" s="53" t="s">
        <v>990</v>
      </c>
      <c r="N31" s="53"/>
      <c r="O31" s="85" t="s">
        <v>991</v>
      </c>
      <c r="P31" s="53">
        <v>1</v>
      </c>
      <c r="Q31" s="83">
        <v>243000</v>
      </c>
      <c r="R31" s="84">
        <v>0.8</v>
      </c>
      <c r="S31" s="53"/>
      <c r="T31" s="53"/>
      <c r="U31" s="137" t="s">
        <v>124</v>
      </c>
      <c r="V31" s="138" t="s">
        <v>118</v>
      </c>
      <c r="W31" s="83">
        <v>8760</v>
      </c>
      <c r="X31" s="139">
        <v>0.6</v>
      </c>
      <c r="Y31" s="139">
        <f t="shared" si="0"/>
        <v>0.61643835616438358</v>
      </c>
      <c r="Z31" s="139">
        <v>1</v>
      </c>
      <c r="AA31" s="139">
        <v>1</v>
      </c>
      <c r="AB31" s="83">
        <f t="shared" si="1"/>
        <v>2700</v>
      </c>
      <c r="AC31" s="83">
        <f t="shared" si="2"/>
        <v>2700</v>
      </c>
      <c r="AD31" s="83">
        <f t="shared" si="3"/>
        <v>492.07499999999999</v>
      </c>
      <c r="AE31" s="83">
        <f t="shared" si="4"/>
        <v>492.07499999999999</v>
      </c>
      <c r="AF31" s="85"/>
      <c r="AG31" s="53"/>
      <c r="AH31" s="53"/>
      <c r="AI31" s="53"/>
      <c r="AJ31" s="53"/>
      <c r="AK31" s="53"/>
      <c r="AL31" s="53"/>
      <c r="AM31" s="111">
        <f t="shared" si="5"/>
        <v>492.07499999999999</v>
      </c>
      <c r="AN31" s="111">
        <f t="shared" si="6"/>
        <v>492.07499999999999</v>
      </c>
    </row>
    <row r="32" spans="1:40" s="29" customFormat="1" ht="15.75" x14ac:dyDescent="0.25">
      <c r="A32" s="53">
        <v>22</v>
      </c>
      <c r="B32" s="53"/>
      <c r="C32" s="53"/>
      <c r="D32" s="53" t="s">
        <v>135</v>
      </c>
      <c r="E32" s="53"/>
      <c r="F32" s="53"/>
      <c r="G32" s="53" t="s">
        <v>290</v>
      </c>
      <c r="H32" s="53" t="s">
        <v>291</v>
      </c>
      <c r="I32" s="85" t="s">
        <v>391</v>
      </c>
      <c r="J32" s="85" t="s">
        <v>750</v>
      </c>
      <c r="K32" s="85" t="s">
        <v>989</v>
      </c>
      <c r="L32" s="53" t="s">
        <v>404</v>
      </c>
      <c r="M32" s="53" t="s">
        <v>990</v>
      </c>
      <c r="N32" s="53"/>
      <c r="O32" s="85" t="s">
        <v>991</v>
      </c>
      <c r="P32" s="53">
        <v>1</v>
      </c>
      <c r="Q32" s="83">
        <v>111276</v>
      </c>
      <c r="R32" s="84">
        <v>0.8</v>
      </c>
      <c r="S32" s="53"/>
      <c r="T32" s="53"/>
      <c r="U32" s="137" t="s">
        <v>124</v>
      </c>
      <c r="V32" s="138" t="s">
        <v>118</v>
      </c>
      <c r="W32" s="83">
        <v>8760</v>
      </c>
      <c r="X32" s="139">
        <v>0.6</v>
      </c>
      <c r="Y32" s="139">
        <f t="shared" si="0"/>
        <v>0.61643835616438358</v>
      </c>
      <c r="Z32" s="139">
        <v>1</v>
      </c>
      <c r="AA32" s="139">
        <v>1</v>
      </c>
      <c r="AB32" s="83">
        <f t="shared" si="1"/>
        <v>2700</v>
      </c>
      <c r="AC32" s="83">
        <f t="shared" si="2"/>
        <v>2700</v>
      </c>
      <c r="AD32" s="83">
        <f t="shared" si="3"/>
        <v>225.3339</v>
      </c>
      <c r="AE32" s="83">
        <f t="shared" si="4"/>
        <v>225.3339</v>
      </c>
      <c r="AF32" s="85"/>
      <c r="AG32" s="53"/>
      <c r="AH32" s="53"/>
      <c r="AI32" s="53"/>
      <c r="AJ32" s="53"/>
      <c r="AK32" s="53"/>
      <c r="AL32" s="53"/>
      <c r="AM32" s="111">
        <f t="shared" si="5"/>
        <v>225.3339</v>
      </c>
      <c r="AN32" s="111">
        <f t="shared" si="6"/>
        <v>225.3339</v>
      </c>
    </row>
    <row r="33" spans="1:40" s="29" customFormat="1" ht="15.75" x14ac:dyDescent="0.25">
      <c r="A33" s="53">
        <v>23</v>
      </c>
      <c r="B33" s="53"/>
      <c r="C33" s="53"/>
      <c r="D33" s="53" t="s">
        <v>135</v>
      </c>
      <c r="E33" s="53"/>
      <c r="F33" s="53"/>
      <c r="G33" s="53" t="s">
        <v>290</v>
      </c>
      <c r="H33" s="53" t="s">
        <v>291</v>
      </c>
      <c r="I33" s="85" t="s">
        <v>999</v>
      </c>
      <c r="J33" s="85" t="s">
        <v>293</v>
      </c>
      <c r="K33" s="85" t="s">
        <v>989</v>
      </c>
      <c r="L33" s="53" t="s">
        <v>404</v>
      </c>
      <c r="M33" s="53" t="s">
        <v>990</v>
      </c>
      <c r="N33" s="53"/>
      <c r="O33" s="85" t="s">
        <v>991</v>
      </c>
      <c r="P33" s="53">
        <v>1</v>
      </c>
      <c r="Q33" s="83">
        <v>1010880</v>
      </c>
      <c r="R33" s="84">
        <v>0.8</v>
      </c>
      <c r="S33" s="53"/>
      <c r="T33" s="53"/>
      <c r="U33" s="137" t="s">
        <v>124</v>
      </c>
      <c r="V33" s="138" t="s">
        <v>118</v>
      </c>
      <c r="W33" s="83">
        <v>8760</v>
      </c>
      <c r="X33" s="139">
        <v>0.6</v>
      </c>
      <c r="Y33" s="139">
        <f t="shared" si="0"/>
        <v>0.61643835616438358</v>
      </c>
      <c r="Z33" s="139">
        <v>1</v>
      </c>
      <c r="AA33" s="139">
        <v>1</v>
      </c>
      <c r="AB33" s="83">
        <f t="shared" si="1"/>
        <v>2700</v>
      </c>
      <c r="AC33" s="83">
        <f t="shared" si="2"/>
        <v>2700</v>
      </c>
      <c r="AD33" s="83">
        <f t="shared" si="3"/>
        <v>2047.0319999999997</v>
      </c>
      <c r="AE33" s="83">
        <f t="shared" si="4"/>
        <v>2047.0319999999997</v>
      </c>
      <c r="AF33" s="85"/>
      <c r="AG33" s="53"/>
      <c r="AH33" s="53"/>
      <c r="AI33" s="53"/>
      <c r="AJ33" s="53"/>
      <c r="AK33" s="53"/>
      <c r="AL33" s="53"/>
      <c r="AM33" s="111">
        <f t="shared" si="5"/>
        <v>2047.0319999999997</v>
      </c>
      <c r="AN33" s="111">
        <f t="shared" si="6"/>
        <v>2047.0319999999997</v>
      </c>
    </row>
    <row r="34" spans="1:40" s="29" customFormat="1" ht="15.75" x14ac:dyDescent="0.25">
      <c r="A34" s="53">
        <v>24</v>
      </c>
      <c r="B34" s="53"/>
      <c r="C34" s="53"/>
      <c r="D34" s="53" t="s">
        <v>135</v>
      </c>
      <c r="E34" s="53"/>
      <c r="F34" s="53"/>
      <c r="G34" s="53" t="s">
        <v>290</v>
      </c>
      <c r="H34" s="53" t="s">
        <v>291</v>
      </c>
      <c r="I34" s="85" t="s">
        <v>1000</v>
      </c>
      <c r="J34" s="85" t="s">
        <v>1001</v>
      </c>
      <c r="K34" s="85" t="s">
        <v>989</v>
      </c>
      <c r="L34" s="53" t="s">
        <v>404</v>
      </c>
      <c r="M34" s="53" t="s">
        <v>990</v>
      </c>
      <c r="N34" s="53"/>
      <c r="O34" s="85" t="s">
        <v>991</v>
      </c>
      <c r="P34" s="53">
        <v>1</v>
      </c>
      <c r="Q34" s="83">
        <v>673920</v>
      </c>
      <c r="R34" s="84">
        <v>0.8</v>
      </c>
      <c r="S34" s="53"/>
      <c r="T34" s="53"/>
      <c r="U34" s="137" t="s">
        <v>124</v>
      </c>
      <c r="V34" s="138" t="s">
        <v>118</v>
      </c>
      <c r="W34" s="83">
        <v>8760</v>
      </c>
      <c r="X34" s="139">
        <v>0.6</v>
      </c>
      <c r="Y34" s="139">
        <f t="shared" si="0"/>
        <v>0.61643835616438358</v>
      </c>
      <c r="Z34" s="139">
        <v>1</v>
      </c>
      <c r="AA34" s="139">
        <v>1</v>
      </c>
      <c r="AB34" s="83">
        <f t="shared" si="1"/>
        <v>2700</v>
      </c>
      <c r="AC34" s="83">
        <f t="shared" si="2"/>
        <v>2700</v>
      </c>
      <c r="AD34" s="83">
        <f t="shared" si="3"/>
        <v>1364.6879999999999</v>
      </c>
      <c r="AE34" s="83">
        <f t="shared" si="4"/>
        <v>1364.6879999999999</v>
      </c>
      <c r="AF34" s="85"/>
      <c r="AG34" s="53"/>
      <c r="AH34" s="53"/>
      <c r="AI34" s="53"/>
      <c r="AJ34" s="53"/>
      <c r="AK34" s="53"/>
      <c r="AL34" s="53"/>
      <c r="AM34" s="111">
        <f t="shared" si="5"/>
        <v>1364.6879999999999</v>
      </c>
      <c r="AN34" s="111">
        <f t="shared" si="6"/>
        <v>1364.6879999999999</v>
      </c>
    </row>
    <row r="35" spans="1:40" s="29" customFormat="1" ht="15.75" x14ac:dyDescent="0.25">
      <c r="A35" s="53">
        <v>25</v>
      </c>
      <c r="B35" s="53"/>
      <c r="C35" s="53"/>
      <c r="D35" s="53" t="s">
        <v>135</v>
      </c>
      <c r="E35" s="53"/>
      <c r="F35" s="53"/>
      <c r="G35" s="53" t="s">
        <v>290</v>
      </c>
      <c r="H35" s="53" t="s">
        <v>291</v>
      </c>
      <c r="I35" s="85" t="s">
        <v>394</v>
      </c>
      <c r="J35" s="85" t="s">
        <v>395</v>
      </c>
      <c r="K35" s="85" t="s">
        <v>989</v>
      </c>
      <c r="L35" s="53" t="s">
        <v>404</v>
      </c>
      <c r="M35" s="53" t="s">
        <v>990</v>
      </c>
      <c r="N35" s="53"/>
      <c r="O35" s="85" t="s">
        <v>991</v>
      </c>
      <c r="P35" s="53">
        <v>1</v>
      </c>
      <c r="Q35" s="83">
        <v>111276</v>
      </c>
      <c r="R35" s="84">
        <v>0.8</v>
      </c>
      <c r="S35" s="53"/>
      <c r="T35" s="53"/>
      <c r="U35" s="137" t="s">
        <v>124</v>
      </c>
      <c r="V35" s="138" t="s">
        <v>118</v>
      </c>
      <c r="W35" s="83">
        <v>8760</v>
      </c>
      <c r="X35" s="139">
        <v>0.6</v>
      </c>
      <c r="Y35" s="139">
        <f t="shared" si="0"/>
        <v>0.61643835616438358</v>
      </c>
      <c r="Z35" s="139">
        <v>1</v>
      </c>
      <c r="AA35" s="139">
        <v>1</v>
      </c>
      <c r="AB35" s="83">
        <f t="shared" si="1"/>
        <v>2700</v>
      </c>
      <c r="AC35" s="83">
        <f t="shared" si="2"/>
        <v>2700</v>
      </c>
      <c r="AD35" s="83">
        <f t="shared" si="3"/>
        <v>225.3339</v>
      </c>
      <c r="AE35" s="83">
        <f t="shared" si="4"/>
        <v>225.3339</v>
      </c>
      <c r="AF35" s="85"/>
      <c r="AG35" s="53"/>
      <c r="AH35" s="53"/>
      <c r="AI35" s="53"/>
      <c r="AJ35" s="53"/>
      <c r="AK35" s="53"/>
      <c r="AL35" s="53"/>
      <c r="AM35" s="111">
        <f t="shared" si="5"/>
        <v>225.3339</v>
      </c>
      <c r="AN35" s="111">
        <f t="shared" si="6"/>
        <v>225.3339</v>
      </c>
    </row>
    <row r="36" spans="1:40" s="29" customFormat="1" ht="15.75" x14ac:dyDescent="0.25">
      <c r="A36" s="53">
        <v>26</v>
      </c>
      <c r="B36" s="53"/>
      <c r="C36" s="53"/>
      <c r="D36" s="53" t="s">
        <v>135</v>
      </c>
      <c r="E36" s="53"/>
      <c r="F36" s="53"/>
      <c r="G36" s="53" t="s">
        <v>290</v>
      </c>
      <c r="H36" s="53" t="s">
        <v>291</v>
      </c>
      <c r="I36" s="85" t="s">
        <v>394</v>
      </c>
      <c r="J36" s="85" t="s">
        <v>397</v>
      </c>
      <c r="K36" s="85" t="s">
        <v>989</v>
      </c>
      <c r="L36" s="53" t="s">
        <v>404</v>
      </c>
      <c r="M36" s="53" t="s">
        <v>990</v>
      </c>
      <c r="N36" s="53"/>
      <c r="O36" s="85" t="s">
        <v>991</v>
      </c>
      <c r="P36" s="53">
        <v>1</v>
      </c>
      <c r="Q36" s="83">
        <v>20232</v>
      </c>
      <c r="R36" s="84">
        <v>0.8</v>
      </c>
      <c r="S36" s="53"/>
      <c r="T36" s="53"/>
      <c r="U36" s="137" t="s">
        <v>124</v>
      </c>
      <c r="V36" s="138" t="s">
        <v>118</v>
      </c>
      <c r="W36" s="83">
        <v>8760</v>
      </c>
      <c r="X36" s="139">
        <v>0.6</v>
      </c>
      <c r="Y36" s="139">
        <f t="shared" si="0"/>
        <v>0.61643835616438358</v>
      </c>
      <c r="Z36" s="139">
        <v>1</v>
      </c>
      <c r="AA36" s="139">
        <v>1</v>
      </c>
      <c r="AB36" s="83">
        <f t="shared" si="1"/>
        <v>2700</v>
      </c>
      <c r="AC36" s="83">
        <f t="shared" si="2"/>
        <v>2700</v>
      </c>
      <c r="AD36" s="83">
        <f t="shared" si="3"/>
        <v>40.969799999999999</v>
      </c>
      <c r="AE36" s="83">
        <f t="shared" si="4"/>
        <v>40.969799999999999</v>
      </c>
      <c r="AF36" s="85"/>
      <c r="AG36" s="53"/>
      <c r="AH36" s="53"/>
      <c r="AI36" s="53"/>
      <c r="AJ36" s="53"/>
      <c r="AK36" s="53"/>
      <c r="AL36" s="53"/>
      <c r="AM36" s="111">
        <f t="shared" si="5"/>
        <v>40.969799999999999</v>
      </c>
      <c r="AN36" s="111">
        <f t="shared" si="6"/>
        <v>40.969799999999999</v>
      </c>
    </row>
    <row r="37" spans="1:40" s="29" customFormat="1" ht="15.75" x14ac:dyDescent="0.25">
      <c r="A37" s="53">
        <v>27</v>
      </c>
      <c r="B37" s="53"/>
      <c r="C37" s="53"/>
      <c r="D37" s="53" t="s">
        <v>135</v>
      </c>
      <c r="E37" s="53"/>
      <c r="F37" s="53"/>
      <c r="G37" s="53" t="s">
        <v>290</v>
      </c>
      <c r="H37" s="53" t="s">
        <v>291</v>
      </c>
      <c r="I37" s="85" t="s">
        <v>459</v>
      </c>
      <c r="J37" s="85" t="s">
        <v>751</v>
      </c>
      <c r="K37" s="85" t="s">
        <v>989</v>
      </c>
      <c r="L37" s="53" t="s">
        <v>404</v>
      </c>
      <c r="M37" s="53" t="s">
        <v>990</v>
      </c>
      <c r="N37" s="53"/>
      <c r="O37" s="85" t="s">
        <v>991</v>
      </c>
      <c r="P37" s="53">
        <v>1</v>
      </c>
      <c r="Q37" s="83">
        <v>702000</v>
      </c>
      <c r="R37" s="84">
        <v>0.8</v>
      </c>
      <c r="S37" s="53"/>
      <c r="T37" s="53"/>
      <c r="U37" s="137" t="s">
        <v>124</v>
      </c>
      <c r="V37" s="138" t="s">
        <v>118</v>
      </c>
      <c r="W37" s="83">
        <v>8760</v>
      </c>
      <c r="X37" s="139">
        <v>0.6</v>
      </c>
      <c r="Y37" s="139">
        <f t="shared" si="0"/>
        <v>0.61643835616438358</v>
      </c>
      <c r="Z37" s="139">
        <v>1</v>
      </c>
      <c r="AA37" s="139">
        <v>1</v>
      </c>
      <c r="AB37" s="83">
        <f t="shared" si="1"/>
        <v>2700</v>
      </c>
      <c r="AC37" s="83">
        <f t="shared" si="2"/>
        <v>2700</v>
      </c>
      <c r="AD37" s="83">
        <f t="shared" si="3"/>
        <v>1421.55</v>
      </c>
      <c r="AE37" s="83">
        <f t="shared" si="4"/>
        <v>1421.55</v>
      </c>
      <c r="AF37" s="85"/>
      <c r="AG37" s="53"/>
      <c r="AH37" s="53"/>
      <c r="AI37" s="53"/>
      <c r="AJ37" s="53"/>
      <c r="AK37" s="53"/>
      <c r="AL37" s="53"/>
      <c r="AM37" s="111">
        <f t="shared" si="5"/>
        <v>1421.55</v>
      </c>
      <c r="AN37" s="111">
        <f t="shared" si="6"/>
        <v>1421.55</v>
      </c>
    </row>
    <row r="38" spans="1:40" s="29" customFormat="1" ht="15.75" x14ac:dyDescent="0.25">
      <c r="A38" s="53">
        <v>28</v>
      </c>
      <c r="B38" s="53"/>
      <c r="C38" s="53"/>
      <c r="D38" s="53" t="s">
        <v>135</v>
      </c>
      <c r="E38" s="53"/>
      <c r="F38" s="53"/>
      <c r="G38" s="53" t="s">
        <v>290</v>
      </c>
      <c r="H38" s="53" t="s">
        <v>291</v>
      </c>
      <c r="I38" s="85" t="s">
        <v>461</v>
      </c>
      <c r="J38" s="85" t="s">
        <v>752</v>
      </c>
      <c r="K38" s="85" t="s">
        <v>989</v>
      </c>
      <c r="L38" s="53" t="s">
        <v>404</v>
      </c>
      <c r="M38" s="53" t="s">
        <v>990</v>
      </c>
      <c r="N38" s="53"/>
      <c r="O38" s="85" t="s">
        <v>991</v>
      </c>
      <c r="P38" s="53">
        <v>1</v>
      </c>
      <c r="Q38" s="83">
        <v>702000</v>
      </c>
      <c r="R38" s="84">
        <v>0.8</v>
      </c>
      <c r="S38" s="53"/>
      <c r="T38" s="53"/>
      <c r="U38" s="137" t="s">
        <v>124</v>
      </c>
      <c r="V38" s="138" t="s">
        <v>118</v>
      </c>
      <c r="W38" s="83">
        <v>8760</v>
      </c>
      <c r="X38" s="139">
        <v>0.6</v>
      </c>
      <c r="Y38" s="139">
        <f t="shared" si="0"/>
        <v>0.61643835616438358</v>
      </c>
      <c r="Z38" s="139">
        <v>1</v>
      </c>
      <c r="AA38" s="139">
        <v>1</v>
      </c>
      <c r="AB38" s="83">
        <f t="shared" si="1"/>
        <v>2700</v>
      </c>
      <c r="AC38" s="83">
        <f t="shared" si="2"/>
        <v>2700</v>
      </c>
      <c r="AD38" s="83">
        <f t="shared" si="3"/>
        <v>1421.55</v>
      </c>
      <c r="AE38" s="83">
        <f t="shared" si="4"/>
        <v>1421.55</v>
      </c>
      <c r="AF38" s="85"/>
      <c r="AG38" s="53"/>
      <c r="AH38" s="53"/>
      <c r="AI38" s="53"/>
      <c r="AJ38" s="53"/>
      <c r="AK38" s="53"/>
      <c r="AL38" s="53"/>
      <c r="AM38" s="111">
        <f t="shared" si="5"/>
        <v>1421.55</v>
      </c>
      <c r="AN38" s="111">
        <f t="shared" si="6"/>
        <v>1421.55</v>
      </c>
    </row>
    <row r="39" spans="1:40" s="29" customFormat="1" ht="15.75" x14ac:dyDescent="0.25">
      <c r="A39" s="53">
        <v>29</v>
      </c>
      <c r="B39" s="53"/>
      <c r="C39" s="53"/>
      <c r="D39" s="53" t="s">
        <v>135</v>
      </c>
      <c r="E39" s="53"/>
      <c r="F39" s="53"/>
      <c r="G39" s="53" t="s">
        <v>290</v>
      </c>
      <c r="H39" s="53" t="s">
        <v>291</v>
      </c>
      <c r="I39" s="85" t="s">
        <v>459</v>
      </c>
      <c r="J39" s="85" t="s">
        <v>663</v>
      </c>
      <c r="K39" s="85" t="s">
        <v>989</v>
      </c>
      <c r="L39" s="53" t="s">
        <v>404</v>
      </c>
      <c r="M39" s="53" t="s">
        <v>990</v>
      </c>
      <c r="N39" s="53"/>
      <c r="O39" s="85" t="s">
        <v>991</v>
      </c>
      <c r="P39" s="53">
        <v>1</v>
      </c>
      <c r="Q39" s="83">
        <v>45500</v>
      </c>
      <c r="R39" s="84">
        <v>0.8</v>
      </c>
      <c r="S39" s="53"/>
      <c r="T39" s="53"/>
      <c r="U39" s="137" t="s">
        <v>124</v>
      </c>
      <c r="V39" s="138" t="s">
        <v>118</v>
      </c>
      <c r="W39" s="83">
        <v>8760</v>
      </c>
      <c r="X39" s="139">
        <v>0.6</v>
      </c>
      <c r="Y39" s="139">
        <f t="shared" si="0"/>
        <v>0.61643835616438358</v>
      </c>
      <c r="Z39" s="139">
        <v>1</v>
      </c>
      <c r="AA39" s="139">
        <v>1</v>
      </c>
      <c r="AB39" s="83">
        <f t="shared" si="1"/>
        <v>2700</v>
      </c>
      <c r="AC39" s="83">
        <f t="shared" si="2"/>
        <v>2700</v>
      </c>
      <c r="AD39" s="83">
        <f t="shared" si="3"/>
        <v>92.137500000000003</v>
      </c>
      <c r="AE39" s="83">
        <f t="shared" si="4"/>
        <v>92.137500000000003</v>
      </c>
      <c r="AF39" s="85"/>
      <c r="AG39" s="53"/>
      <c r="AH39" s="53"/>
      <c r="AI39" s="53"/>
      <c r="AJ39" s="53"/>
      <c r="AK39" s="53"/>
      <c r="AL39" s="53"/>
      <c r="AM39" s="111">
        <f t="shared" si="5"/>
        <v>92.137500000000003</v>
      </c>
      <c r="AN39" s="111">
        <f t="shared" si="6"/>
        <v>92.137500000000003</v>
      </c>
    </row>
    <row r="40" spans="1:40" s="29" customFormat="1" ht="15.75" x14ac:dyDescent="0.25">
      <c r="A40" s="53">
        <v>30</v>
      </c>
      <c r="B40" s="53"/>
      <c r="C40" s="53"/>
      <c r="D40" s="53" t="s">
        <v>135</v>
      </c>
      <c r="E40" s="53"/>
      <c r="F40" s="53"/>
      <c r="G40" s="53" t="s">
        <v>290</v>
      </c>
      <c r="H40" s="53" t="s">
        <v>291</v>
      </c>
      <c r="I40" s="85" t="s">
        <v>463</v>
      </c>
      <c r="J40" s="85" t="s">
        <v>753</v>
      </c>
      <c r="K40" s="85" t="s">
        <v>989</v>
      </c>
      <c r="L40" s="53" t="s">
        <v>404</v>
      </c>
      <c r="M40" s="53" t="s">
        <v>990</v>
      </c>
      <c r="N40" s="53"/>
      <c r="O40" s="85" t="s">
        <v>991</v>
      </c>
      <c r="P40" s="53">
        <v>1</v>
      </c>
      <c r="Q40" s="83">
        <v>561600</v>
      </c>
      <c r="R40" s="84">
        <v>0.8</v>
      </c>
      <c r="S40" s="53"/>
      <c r="T40" s="53"/>
      <c r="U40" s="137" t="s">
        <v>124</v>
      </c>
      <c r="V40" s="138" t="s">
        <v>118</v>
      </c>
      <c r="W40" s="83">
        <v>8760</v>
      </c>
      <c r="X40" s="139">
        <v>0.6</v>
      </c>
      <c r="Y40" s="139">
        <f t="shared" si="0"/>
        <v>0.61643835616438358</v>
      </c>
      <c r="Z40" s="139">
        <v>1</v>
      </c>
      <c r="AA40" s="139">
        <v>1</v>
      </c>
      <c r="AB40" s="83">
        <f t="shared" si="1"/>
        <v>2700</v>
      </c>
      <c r="AC40" s="83">
        <f t="shared" si="2"/>
        <v>2700</v>
      </c>
      <c r="AD40" s="83">
        <f t="shared" si="3"/>
        <v>1137.24</v>
      </c>
      <c r="AE40" s="83">
        <f t="shared" si="4"/>
        <v>1137.24</v>
      </c>
      <c r="AF40" s="85"/>
      <c r="AG40" s="53"/>
      <c r="AH40" s="53"/>
      <c r="AI40" s="53"/>
      <c r="AJ40" s="53"/>
      <c r="AK40" s="53"/>
      <c r="AL40" s="53"/>
      <c r="AM40" s="111">
        <f t="shared" si="5"/>
        <v>1137.24</v>
      </c>
      <c r="AN40" s="111">
        <f t="shared" si="6"/>
        <v>1137.24</v>
      </c>
    </row>
    <row r="41" spans="1:40" s="29" customFormat="1" ht="15.75" x14ac:dyDescent="0.25">
      <c r="A41" s="53">
        <v>31</v>
      </c>
      <c r="B41" s="53"/>
      <c r="C41" s="53"/>
      <c r="D41" s="53" t="s">
        <v>135</v>
      </c>
      <c r="E41" s="53"/>
      <c r="F41" s="53"/>
      <c r="G41" s="53" t="s">
        <v>290</v>
      </c>
      <c r="H41" s="53" t="s">
        <v>291</v>
      </c>
      <c r="I41" s="85" t="s">
        <v>463</v>
      </c>
      <c r="J41" s="85" t="s">
        <v>754</v>
      </c>
      <c r="K41" s="85" t="s">
        <v>989</v>
      </c>
      <c r="L41" s="53" t="s">
        <v>404</v>
      </c>
      <c r="M41" s="53" t="s">
        <v>990</v>
      </c>
      <c r="N41" s="53"/>
      <c r="O41" s="85" t="s">
        <v>991</v>
      </c>
      <c r="P41" s="53">
        <v>1</v>
      </c>
      <c r="Q41" s="83">
        <v>561600</v>
      </c>
      <c r="R41" s="84">
        <v>0.8</v>
      </c>
      <c r="S41" s="53"/>
      <c r="T41" s="53"/>
      <c r="U41" s="137" t="s">
        <v>124</v>
      </c>
      <c r="V41" s="138" t="s">
        <v>118</v>
      </c>
      <c r="W41" s="83">
        <v>8760</v>
      </c>
      <c r="X41" s="139">
        <v>0.6</v>
      </c>
      <c r="Y41" s="139">
        <f t="shared" si="0"/>
        <v>0.61643835616438358</v>
      </c>
      <c r="Z41" s="139">
        <v>1</v>
      </c>
      <c r="AA41" s="139">
        <v>1</v>
      </c>
      <c r="AB41" s="83">
        <f t="shared" si="1"/>
        <v>2700</v>
      </c>
      <c r="AC41" s="83">
        <f t="shared" si="2"/>
        <v>2700</v>
      </c>
      <c r="AD41" s="83">
        <f t="shared" si="3"/>
        <v>1137.24</v>
      </c>
      <c r="AE41" s="83">
        <f t="shared" si="4"/>
        <v>1137.24</v>
      </c>
      <c r="AF41" s="85"/>
      <c r="AG41" s="53"/>
      <c r="AH41" s="53"/>
      <c r="AI41" s="53"/>
      <c r="AJ41" s="53"/>
      <c r="AK41" s="53"/>
      <c r="AL41" s="53"/>
      <c r="AM41" s="111">
        <f t="shared" si="5"/>
        <v>1137.24</v>
      </c>
      <c r="AN41" s="111">
        <f t="shared" si="6"/>
        <v>1137.24</v>
      </c>
    </row>
    <row r="42" spans="1:40" s="29" customFormat="1" ht="15.75" x14ac:dyDescent="0.25">
      <c r="A42" s="53">
        <v>32</v>
      </c>
      <c r="B42" s="53"/>
      <c r="C42" s="53"/>
      <c r="D42" s="53" t="s">
        <v>135</v>
      </c>
      <c r="E42" s="53"/>
      <c r="F42" s="53"/>
      <c r="G42" s="53" t="s">
        <v>290</v>
      </c>
      <c r="H42" s="53" t="s">
        <v>291</v>
      </c>
      <c r="I42" s="85" t="s">
        <v>463</v>
      </c>
      <c r="J42" s="85" t="s">
        <v>1002</v>
      </c>
      <c r="K42" s="85" t="s">
        <v>989</v>
      </c>
      <c r="L42" s="53" t="s">
        <v>404</v>
      </c>
      <c r="M42" s="53" t="s">
        <v>990</v>
      </c>
      <c r="N42" s="53"/>
      <c r="O42" s="85" t="s">
        <v>991</v>
      </c>
      <c r="P42" s="53">
        <v>1</v>
      </c>
      <c r="Q42" s="83">
        <v>22750</v>
      </c>
      <c r="R42" s="84">
        <v>0.8</v>
      </c>
      <c r="S42" s="53"/>
      <c r="T42" s="53"/>
      <c r="U42" s="137" t="s">
        <v>124</v>
      </c>
      <c r="V42" s="138" t="s">
        <v>118</v>
      </c>
      <c r="W42" s="83">
        <v>8760</v>
      </c>
      <c r="X42" s="139">
        <v>0.6</v>
      </c>
      <c r="Y42" s="139">
        <f t="shared" si="0"/>
        <v>0.61643835616438358</v>
      </c>
      <c r="Z42" s="139">
        <v>1</v>
      </c>
      <c r="AA42" s="139">
        <v>1</v>
      </c>
      <c r="AB42" s="83">
        <f t="shared" si="1"/>
        <v>2700</v>
      </c>
      <c r="AC42" s="83">
        <f t="shared" si="2"/>
        <v>2700</v>
      </c>
      <c r="AD42" s="83">
        <f t="shared" si="3"/>
        <v>46.068750000000001</v>
      </c>
      <c r="AE42" s="83">
        <f t="shared" si="4"/>
        <v>46.068750000000001</v>
      </c>
      <c r="AF42" s="85"/>
      <c r="AG42" s="53"/>
      <c r="AH42" s="53"/>
      <c r="AI42" s="53"/>
      <c r="AJ42" s="53"/>
      <c r="AK42" s="53"/>
      <c r="AL42" s="53"/>
      <c r="AM42" s="111">
        <f t="shared" si="5"/>
        <v>46.068750000000001</v>
      </c>
      <c r="AN42" s="111">
        <f t="shared" si="6"/>
        <v>46.068750000000001</v>
      </c>
    </row>
    <row r="43" spans="1:40" s="29" customFormat="1" ht="15.75" x14ac:dyDescent="0.25">
      <c r="A43" s="53">
        <v>33</v>
      </c>
      <c r="B43" s="53"/>
      <c r="C43" s="53"/>
      <c r="D43" s="53" t="s">
        <v>135</v>
      </c>
      <c r="E43" s="53"/>
      <c r="F43" s="53"/>
      <c r="G43" s="53" t="s">
        <v>290</v>
      </c>
      <c r="H43" s="53" t="s">
        <v>291</v>
      </c>
      <c r="I43" s="85" t="s">
        <v>463</v>
      </c>
      <c r="J43" s="85" t="s">
        <v>819</v>
      </c>
      <c r="K43" s="85" t="s">
        <v>989</v>
      </c>
      <c r="L43" s="53" t="s">
        <v>404</v>
      </c>
      <c r="M43" s="53" t="s">
        <v>990</v>
      </c>
      <c r="N43" s="53"/>
      <c r="O43" s="85" t="s">
        <v>991</v>
      </c>
      <c r="P43" s="53">
        <v>1</v>
      </c>
      <c r="Q43" s="83">
        <v>22750</v>
      </c>
      <c r="R43" s="84">
        <v>0.8</v>
      </c>
      <c r="S43" s="53"/>
      <c r="T43" s="53"/>
      <c r="U43" s="137" t="s">
        <v>124</v>
      </c>
      <c r="V43" s="138" t="s">
        <v>118</v>
      </c>
      <c r="W43" s="83">
        <v>8760</v>
      </c>
      <c r="X43" s="139">
        <v>0.6</v>
      </c>
      <c r="Y43" s="139">
        <f t="shared" ref="Y43:Y72" si="7">$T$7</f>
        <v>0.61643835616438358</v>
      </c>
      <c r="Z43" s="139">
        <v>1</v>
      </c>
      <c r="AA43" s="139">
        <v>1</v>
      </c>
      <c r="AB43" s="83">
        <f t="shared" ref="AB43:AB74" si="8">$W43*Y43*$S$3</f>
        <v>2700</v>
      </c>
      <c r="AC43" s="83">
        <f t="shared" ref="AC43:AC74" si="9">$W43*Y43*$S$4</f>
        <v>2700</v>
      </c>
      <c r="AD43" s="83">
        <f t="shared" ref="AD43:AD74" si="10">((($P43*$Q43*$Z43*$AB43)/$R43)/1000000)*$X43</f>
        <v>46.068750000000001</v>
      </c>
      <c r="AE43" s="83">
        <f t="shared" ref="AE43:AE74" si="11">((($P43*$Q43*$AA43*$AC43)/$R43)/1000000)*$X43</f>
        <v>46.068750000000001</v>
      </c>
      <c r="AF43" s="85"/>
      <c r="AG43" s="53"/>
      <c r="AH43" s="53"/>
      <c r="AI43" s="53"/>
      <c r="AJ43" s="53"/>
      <c r="AK43" s="53"/>
      <c r="AL43" s="53"/>
      <c r="AM43" s="111">
        <f t="shared" ref="AM43:AM79" si="12">AD43</f>
        <v>46.068750000000001</v>
      </c>
      <c r="AN43" s="111">
        <f t="shared" ref="AN43:AN79" si="13">AE43</f>
        <v>46.068750000000001</v>
      </c>
    </row>
    <row r="44" spans="1:40" s="29" customFormat="1" ht="15.75" x14ac:dyDescent="0.25">
      <c r="A44" s="53">
        <v>34</v>
      </c>
      <c r="B44" s="53"/>
      <c r="C44" s="53"/>
      <c r="D44" s="53" t="s">
        <v>135</v>
      </c>
      <c r="E44" s="53"/>
      <c r="F44" s="53"/>
      <c r="G44" s="53" t="s">
        <v>211</v>
      </c>
      <c r="H44" s="53" t="s">
        <v>1003</v>
      </c>
      <c r="I44" s="85" t="s">
        <v>446</v>
      </c>
      <c r="J44" s="85" t="s">
        <v>755</v>
      </c>
      <c r="K44" s="85" t="s">
        <v>989</v>
      </c>
      <c r="L44" s="53" t="s">
        <v>1004</v>
      </c>
      <c r="M44" s="53" t="s">
        <v>990</v>
      </c>
      <c r="N44" s="53"/>
      <c r="O44" s="85" t="s">
        <v>991</v>
      </c>
      <c r="P44" s="53">
        <v>1</v>
      </c>
      <c r="Q44" s="83">
        <v>316564</v>
      </c>
      <c r="R44" s="84">
        <v>0.8</v>
      </c>
      <c r="S44" s="53"/>
      <c r="T44" s="53"/>
      <c r="U44" s="137" t="s">
        <v>124</v>
      </c>
      <c r="V44" s="138" t="s">
        <v>118</v>
      </c>
      <c r="W44" s="83">
        <v>8760</v>
      </c>
      <c r="X44" s="139">
        <v>0.6</v>
      </c>
      <c r="Y44" s="139">
        <f t="shared" si="7"/>
        <v>0.61643835616438358</v>
      </c>
      <c r="Z44" s="139">
        <v>1</v>
      </c>
      <c r="AA44" s="139">
        <v>1</v>
      </c>
      <c r="AB44" s="83">
        <f t="shared" si="8"/>
        <v>2700</v>
      </c>
      <c r="AC44" s="83">
        <f t="shared" si="9"/>
        <v>2700</v>
      </c>
      <c r="AD44" s="83">
        <f t="shared" si="10"/>
        <v>641.04209999999989</v>
      </c>
      <c r="AE44" s="83">
        <f t="shared" si="11"/>
        <v>641.04209999999989</v>
      </c>
      <c r="AF44" s="85"/>
      <c r="AG44" s="53"/>
      <c r="AH44" s="53"/>
      <c r="AI44" s="53"/>
      <c r="AJ44" s="53"/>
      <c r="AK44" s="53"/>
      <c r="AL44" s="53"/>
      <c r="AM44" s="111">
        <f t="shared" si="12"/>
        <v>641.04209999999989</v>
      </c>
      <c r="AN44" s="111">
        <f t="shared" si="13"/>
        <v>641.04209999999989</v>
      </c>
    </row>
    <row r="45" spans="1:40" s="29" customFormat="1" ht="15.75" x14ac:dyDescent="0.25">
      <c r="A45" s="53">
        <v>35</v>
      </c>
      <c r="B45" s="53"/>
      <c r="C45" s="53"/>
      <c r="D45" s="53" t="s">
        <v>135</v>
      </c>
      <c r="E45" s="53"/>
      <c r="F45" s="53"/>
      <c r="G45" s="53" t="s">
        <v>290</v>
      </c>
      <c r="H45" s="53" t="s">
        <v>291</v>
      </c>
      <c r="I45" s="85" t="s">
        <v>630</v>
      </c>
      <c r="J45" s="85" t="s">
        <v>664</v>
      </c>
      <c r="K45" s="85" t="s">
        <v>989</v>
      </c>
      <c r="L45" s="53" t="s">
        <v>404</v>
      </c>
      <c r="M45" s="53" t="s">
        <v>990</v>
      </c>
      <c r="N45" s="53"/>
      <c r="O45" s="85" t="s">
        <v>991</v>
      </c>
      <c r="P45" s="53">
        <v>1</v>
      </c>
      <c r="Q45" s="83">
        <v>491220</v>
      </c>
      <c r="R45" s="84">
        <v>0.8</v>
      </c>
      <c r="S45" s="53"/>
      <c r="T45" s="53"/>
      <c r="U45" s="137" t="s">
        <v>124</v>
      </c>
      <c r="V45" s="138" t="s">
        <v>118</v>
      </c>
      <c r="W45" s="83">
        <v>8760</v>
      </c>
      <c r="X45" s="139">
        <v>0.6</v>
      </c>
      <c r="Y45" s="139">
        <f t="shared" si="7"/>
        <v>0.61643835616438358</v>
      </c>
      <c r="Z45" s="139">
        <v>1</v>
      </c>
      <c r="AA45" s="139">
        <v>1</v>
      </c>
      <c r="AB45" s="83">
        <f t="shared" si="8"/>
        <v>2700</v>
      </c>
      <c r="AC45" s="83">
        <f t="shared" si="9"/>
        <v>2700</v>
      </c>
      <c r="AD45" s="83">
        <f t="shared" si="10"/>
        <v>994.72050000000002</v>
      </c>
      <c r="AE45" s="83">
        <f t="shared" si="11"/>
        <v>994.72050000000002</v>
      </c>
      <c r="AF45" s="85"/>
      <c r="AG45" s="53"/>
      <c r="AH45" s="53"/>
      <c r="AI45" s="53"/>
      <c r="AJ45" s="53"/>
      <c r="AK45" s="53"/>
      <c r="AL45" s="53"/>
      <c r="AM45" s="111">
        <f t="shared" si="12"/>
        <v>994.72050000000002</v>
      </c>
      <c r="AN45" s="111">
        <f t="shared" si="13"/>
        <v>994.72050000000002</v>
      </c>
    </row>
    <row r="46" spans="1:40" s="29" customFormat="1" ht="15.75" x14ac:dyDescent="0.25">
      <c r="A46" s="53">
        <v>36</v>
      </c>
      <c r="B46" s="53"/>
      <c r="C46" s="53"/>
      <c r="D46" s="53" t="s">
        <v>135</v>
      </c>
      <c r="E46" s="53"/>
      <c r="F46" s="53"/>
      <c r="G46" s="53" t="s">
        <v>290</v>
      </c>
      <c r="H46" s="53" t="s">
        <v>291</v>
      </c>
      <c r="I46" s="85" t="s">
        <v>315</v>
      </c>
      <c r="J46" s="85" t="s">
        <v>316</v>
      </c>
      <c r="K46" s="85" t="s">
        <v>989</v>
      </c>
      <c r="L46" s="53" t="s">
        <v>404</v>
      </c>
      <c r="M46" s="53" t="s">
        <v>990</v>
      </c>
      <c r="N46" s="53"/>
      <c r="O46" s="85" t="s">
        <v>991</v>
      </c>
      <c r="P46" s="53">
        <v>1</v>
      </c>
      <c r="Q46" s="83">
        <v>1881360</v>
      </c>
      <c r="R46" s="84">
        <v>0.8</v>
      </c>
      <c r="S46" s="53"/>
      <c r="T46" s="53"/>
      <c r="U46" s="137" t="s">
        <v>124</v>
      </c>
      <c r="V46" s="138" t="s">
        <v>118</v>
      </c>
      <c r="W46" s="83">
        <v>8760</v>
      </c>
      <c r="X46" s="139">
        <v>0.6</v>
      </c>
      <c r="Y46" s="139">
        <f t="shared" si="7"/>
        <v>0.61643835616438358</v>
      </c>
      <c r="Z46" s="139">
        <v>1</v>
      </c>
      <c r="AA46" s="139">
        <v>1</v>
      </c>
      <c r="AB46" s="83">
        <f t="shared" si="8"/>
        <v>2700</v>
      </c>
      <c r="AC46" s="83">
        <f t="shared" si="9"/>
        <v>2700</v>
      </c>
      <c r="AD46" s="83">
        <f t="shared" si="10"/>
        <v>3809.7539999999999</v>
      </c>
      <c r="AE46" s="83">
        <f t="shared" si="11"/>
        <v>3809.7539999999999</v>
      </c>
      <c r="AF46" s="85"/>
      <c r="AG46" s="53"/>
      <c r="AH46" s="53"/>
      <c r="AI46" s="53"/>
      <c r="AJ46" s="53"/>
      <c r="AK46" s="53"/>
      <c r="AL46" s="53"/>
      <c r="AM46" s="111">
        <f t="shared" si="12"/>
        <v>3809.7539999999999</v>
      </c>
      <c r="AN46" s="111">
        <f t="shared" si="13"/>
        <v>3809.7539999999999</v>
      </c>
    </row>
    <row r="47" spans="1:40" s="29" customFormat="1" ht="15.75" x14ac:dyDescent="0.25">
      <c r="A47" s="53">
        <v>37</v>
      </c>
      <c r="B47" s="53"/>
      <c r="C47" s="53"/>
      <c r="D47" s="53" t="s">
        <v>135</v>
      </c>
      <c r="E47" s="53"/>
      <c r="F47" s="53"/>
      <c r="G47" s="53" t="s">
        <v>290</v>
      </c>
      <c r="H47" s="53" t="s">
        <v>291</v>
      </c>
      <c r="I47" s="85" t="s">
        <v>638</v>
      </c>
      <c r="J47" s="85" t="s">
        <v>932</v>
      </c>
      <c r="K47" s="85" t="s">
        <v>989</v>
      </c>
      <c r="L47" s="53" t="s">
        <v>404</v>
      </c>
      <c r="M47" s="53" t="s">
        <v>990</v>
      </c>
      <c r="N47" s="53"/>
      <c r="O47" s="85" t="s">
        <v>991</v>
      </c>
      <c r="P47" s="53">
        <v>1</v>
      </c>
      <c r="Q47" s="83">
        <v>491220</v>
      </c>
      <c r="R47" s="84">
        <v>0.8</v>
      </c>
      <c r="S47" s="53"/>
      <c r="T47" s="53"/>
      <c r="U47" s="137" t="s">
        <v>124</v>
      </c>
      <c r="V47" s="138" t="s">
        <v>118</v>
      </c>
      <c r="W47" s="83">
        <v>8760</v>
      </c>
      <c r="X47" s="139">
        <v>0.6</v>
      </c>
      <c r="Y47" s="139">
        <f t="shared" si="7"/>
        <v>0.61643835616438358</v>
      </c>
      <c r="Z47" s="139">
        <v>1</v>
      </c>
      <c r="AA47" s="139">
        <v>1</v>
      </c>
      <c r="AB47" s="83">
        <f t="shared" si="8"/>
        <v>2700</v>
      </c>
      <c r="AC47" s="83">
        <f t="shared" si="9"/>
        <v>2700</v>
      </c>
      <c r="AD47" s="83">
        <f t="shared" si="10"/>
        <v>994.72050000000002</v>
      </c>
      <c r="AE47" s="83">
        <f t="shared" si="11"/>
        <v>994.72050000000002</v>
      </c>
      <c r="AF47" s="85"/>
      <c r="AG47" s="53"/>
      <c r="AH47" s="53"/>
      <c r="AI47" s="53"/>
      <c r="AJ47" s="53"/>
      <c r="AK47" s="53"/>
      <c r="AL47" s="53"/>
      <c r="AM47" s="111">
        <f t="shared" si="12"/>
        <v>994.72050000000002</v>
      </c>
      <c r="AN47" s="111">
        <f t="shared" si="13"/>
        <v>994.72050000000002</v>
      </c>
    </row>
    <row r="48" spans="1:40" s="29" customFormat="1" ht="15.75" x14ac:dyDescent="0.25">
      <c r="A48" s="53">
        <v>38</v>
      </c>
      <c r="B48" s="53"/>
      <c r="C48" s="53"/>
      <c r="D48" s="53" t="s">
        <v>135</v>
      </c>
      <c r="E48" s="53"/>
      <c r="F48" s="53"/>
      <c r="G48" s="53" t="s">
        <v>290</v>
      </c>
      <c r="H48" s="53" t="s">
        <v>291</v>
      </c>
      <c r="I48" s="85" t="s">
        <v>317</v>
      </c>
      <c r="J48" s="85" t="s">
        <v>318</v>
      </c>
      <c r="K48" s="85" t="s">
        <v>989</v>
      </c>
      <c r="L48" s="53" t="s">
        <v>404</v>
      </c>
      <c r="M48" s="53" t="s">
        <v>990</v>
      </c>
      <c r="N48" s="53"/>
      <c r="O48" s="85" t="s">
        <v>991</v>
      </c>
      <c r="P48" s="53">
        <v>1</v>
      </c>
      <c r="Q48" s="83">
        <v>772200</v>
      </c>
      <c r="R48" s="84">
        <v>0.8</v>
      </c>
      <c r="S48" s="53"/>
      <c r="T48" s="53"/>
      <c r="U48" s="137" t="s">
        <v>124</v>
      </c>
      <c r="V48" s="138" t="s">
        <v>118</v>
      </c>
      <c r="W48" s="83">
        <v>8760</v>
      </c>
      <c r="X48" s="139">
        <v>0.6</v>
      </c>
      <c r="Y48" s="139">
        <f t="shared" si="7"/>
        <v>0.61643835616438358</v>
      </c>
      <c r="Z48" s="139">
        <v>1</v>
      </c>
      <c r="AA48" s="139">
        <v>1</v>
      </c>
      <c r="AB48" s="83">
        <f t="shared" si="8"/>
        <v>2700</v>
      </c>
      <c r="AC48" s="83">
        <f t="shared" si="9"/>
        <v>2700</v>
      </c>
      <c r="AD48" s="83">
        <f t="shared" si="10"/>
        <v>1563.7050000000002</v>
      </c>
      <c r="AE48" s="83">
        <f t="shared" si="11"/>
        <v>1563.7050000000002</v>
      </c>
      <c r="AF48" s="85"/>
      <c r="AG48" s="53"/>
      <c r="AH48" s="53"/>
      <c r="AI48" s="53"/>
      <c r="AJ48" s="53"/>
      <c r="AK48" s="53"/>
      <c r="AL48" s="53"/>
      <c r="AM48" s="111">
        <f t="shared" si="12"/>
        <v>1563.7050000000002</v>
      </c>
      <c r="AN48" s="111">
        <f t="shared" si="13"/>
        <v>1563.7050000000002</v>
      </c>
    </row>
    <row r="49" spans="1:40" s="29" customFormat="1" ht="15.75" x14ac:dyDescent="0.25">
      <c r="A49" s="53">
        <v>39</v>
      </c>
      <c r="B49" s="53"/>
      <c r="C49" s="53"/>
      <c r="D49" s="53" t="s">
        <v>135</v>
      </c>
      <c r="E49" s="53"/>
      <c r="F49" s="53"/>
      <c r="G49" s="53" t="s">
        <v>290</v>
      </c>
      <c r="H49" s="53" t="s">
        <v>291</v>
      </c>
      <c r="I49" s="85" t="s">
        <v>317</v>
      </c>
      <c r="J49" s="85" t="s">
        <v>318</v>
      </c>
      <c r="K49" s="85" t="s">
        <v>989</v>
      </c>
      <c r="L49" s="53" t="s">
        <v>404</v>
      </c>
      <c r="M49" s="53" t="s">
        <v>990</v>
      </c>
      <c r="N49" s="53"/>
      <c r="O49" s="85" t="s">
        <v>991</v>
      </c>
      <c r="P49" s="53">
        <v>1</v>
      </c>
      <c r="Q49" s="83">
        <v>772200</v>
      </c>
      <c r="R49" s="84">
        <v>0.8</v>
      </c>
      <c r="S49" s="53"/>
      <c r="T49" s="53"/>
      <c r="U49" s="137" t="s">
        <v>124</v>
      </c>
      <c r="V49" s="138" t="s">
        <v>118</v>
      </c>
      <c r="W49" s="83">
        <v>8760</v>
      </c>
      <c r="X49" s="139">
        <v>0.6</v>
      </c>
      <c r="Y49" s="139">
        <f t="shared" si="7"/>
        <v>0.61643835616438358</v>
      </c>
      <c r="Z49" s="139">
        <v>1</v>
      </c>
      <c r="AA49" s="139">
        <v>1</v>
      </c>
      <c r="AB49" s="83">
        <f t="shared" si="8"/>
        <v>2700</v>
      </c>
      <c r="AC49" s="83">
        <f t="shared" si="9"/>
        <v>2700</v>
      </c>
      <c r="AD49" s="83">
        <f t="shared" si="10"/>
        <v>1563.7050000000002</v>
      </c>
      <c r="AE49" s="83">
        <f t="shared" si="11"/>
        <v>1563.7050000000002</v>
      </c>
      <c r="AF49" s="85"/>
      <c r="AG49" s="53"/>
      <c r="AH49" s="53"/>
      <c r="AI49" s="53"/>
      <c r="AJ49" s="53"/>
      <c r="AK49" s="53"/>
      <c r="AL49" s="53"/>
      <c r="AM49" s="111">
        <f t="shared" si="12"/>
        <v>1563.7050000000002</v>
      </c>
      <c r="AN49" s="111">
        <f t="shared" si="13"/>
        <v>1563.7050000000002</v>
      </c>
    </row>
    <row r="50" spans="1:40" s="29" customFormat="1" ht="15.75" x14ac:dyDescent="0.25">
      <c r="A50" s="53">
        <v>40</v>
      </c>
      <c r="B50" s="53"/>
      <c r="C50" s="53"/>
      <c r="D50" s="53" t="s">
        <v>135</v>
      </c>
      <c r="E50" s="53"/>
      <c r="F50" s="53"/>
      <c r="G50" s="53" t="s">
        <v>290</v>
      </c>
      <c r="H50" s="53" t="s">
        <v>291</v>
      </c>
      <c r="I50" s="85" t="s">
        <v>323</v>
      </c>
      <c r="J50" s="85" t="s">
        <v>324</v>
      </c>
      <c r="K50" s="85" t="s">
        <v>989</v>
      </c>
      <c r="L50" s="53" t="s">
        <v>404</v>
      </c>
      <c r="M50" s="53" t="s">
        <v>990</v>
      </c>
      <c r="N50" s="53"/>
      <c r="O50" s="85" t="s">
        <v>991</v>
      </c>
      <c r="P50" s="53">
        <v>1</v>
      </c>
      <c r="Q50" s="83">
        <v>772200</v>
      </c>
      <c r="R50" s="84">
        <v>0.8</v>
      </c>
      <c r="S50" s="53"/>
      <c r="T50" s="53"/>
      <c r="U50" s="137" t="s">
        <v>124</v>
      </c>
      <c r="V50" s="138" t="s">
        <v>118</v>
      </c>
      <c r="W50" s="83">
        <v>8760</v>
      </c>
      <c r="X50" s="139">
        <v>0.6</v>
      </c>
      <c r="Y50" s="139">
        <f t="shared" si="7"/>
        <v>0.61643835616438358</v>
      </c>
      <c r="Z50" s="139">
        <v>1</v>
      </c>
      <c r="AA50" s="139">
        <v>1</v>
      </c>
      <c r="AB50" s="83">
        <f t="shared" si="8"/>
        <v>2700</v>
      </c>
      <c r="AC50" s="83">
        <f t="shared" si="9"/>
        <v>2700</v>
      </c>
      <c r="AD50" s="83">
        <f t="shared" si="10"/>
        <v>1563.7050000000002</v>
      </c>
      <c r="AE50" s="83">
        <f t="shared" si="11"/>
        <v>1563.7050000000002</v>
      </c>
      <c r="AF50" s="85"/>
      <c r="AG50" s="53"/>
      <c r="AH50" s="53"/>
      <c r="AI50" s="53"/>
      <c r="AJ50" s="53"/>
      <c r="AK50" s="53"/>
      <c r="AL50" s="53"/>
      <c r="AM50" s="111">
        <f t="shared" si="12"/>
        <v>1563.7050000000002</v>
      </c>
      <c r="AN50" s="111">
        <f t="shared" si="13"/>
        <v>1563.7050000000002</v>
      </c>
    </row>
    <row r="51" spans="1:40" s="29" customFormat="1" ht="15.75" x14ac:dyDescent="0.25">
      <c r="A51" s="53">
        <v>41</v>
      </c>
      <c r="B51" s="53"/>
      <c r="C51" s="53"/>
      <c r="D51" s="53" t="s">
        <v>135</v>
      </c>
      <c r="E51" s="53"/>
      <c r="F51" s="53"/>
      <c r="G51" s="53" t="s">
        <v>290</v>
      </c>
      <c r="H51" s="53" t="s">
        <v>291</v>
      </c>
      <c r="I51" s="85" t="s">
        <v>317</v>
      </c>
      <c r="J51" s="85" t="s">
        <v>318</v>
      </c>
      <c r="K51" s="85" t="s">
        <v>989</v>
      </c>
      <c r="L51" s="53" t="s">
        <v>404</v>
      </c>
      <c r="M51" s="53" t="s">
        <v>990</v>
      </c>
      <c r="N51" s="53"/>
      <c r="O51" s="85" t="s">
        <v>991</v>
      </c>
      <c r="P51" s="53">
        <v>1</v>
      </c>
      <c r="Q51" s="83">
        <v>772200</v>
      </c>
      <c r="R51" s="84">
        <v>0.8</v>
      </c>
      <c r="S51" s="53"/>
      <c r="T51" s="53"/>
      <c r="U51" s="137" t="s">
        <v>124</v>
      </c>
      <c r="V51" s="138" t="s">
        <v>118</v>
      </c>
      <c r="W51" s="83">
        <v>8760</v>
      </c>
      <c r="X51" s="139">
        <v>0.6</v>
      </c>
      <c r="Y51" s="139">
        <f t="shared" si="7"/>
        <v>0.61643835616438358</v>
      </c>
      <c r="Z51" s="139">
        <v>1</v>
      </c>
      <c r="AA51" s="139">
        <v>1</v>
      </c>
      <c r="AB51" s="83">
        <f t="shared" si="8"/>
        <v>2700</v>
      </c>
      <c r="AC51" s="83">
        <f t="shared" si="9"/>
        <v>2700</v>
      </c>
      <c r="AD51" s="83">
        <f t="shared" si="10"/>
        <v>1563.7050000000002</v>
      </c>
      <c r="AE51" s="83">
        <f t="shared" si="11"/>
        <v>1563.7050000000002</v>
      </c>
      <c r="AF51" s="85"/>
      <c r="AG51" s="53"/>
      <c r="AH51" s="53"/>
      <c r="AI51" s="53"/>
      <c r="AJ51" s="53"/>
      <c r="AK51" s="53"/>
      <c r="AL51" s="53"/>
      <c r="AM51" s="111">
        <f t="shared" si="12"/>
        <v>1563.7050000000002</v>
      </c>
      <c r="AN51" s="111">
        <f t="shared" si="13"/>
        <v>1563.7050000000002</v>
      </c>
    </row>
    <row r="52" spans="1:40" s="29" customFormat="1" ht="15.75" x14ac:dyDescent="0.25">
      <c r="A52" s="53">
        <v>42</v>
      </c>
      <c r="B52" s="53"/>
      <c r="C52" s="53"/>
      <c r="D52" s="53" t="s">
        <v>135</v>
      </c>
      <c r="E52" s="53"/>
      <c r="F52" s="53"/>
      <c r="G52" s="53" t="s">
        <v>290</v>
      </c>
      <c r="H52" s="53" t="s">
        <v>291</v>
      </c>
      <c r="I52" s="85" t="s">
        <v>323</v>
      </c>
      <c r="J52" s="85" t="s">
        <v>324</v>
      </c>
      <c r="K52" s="85" t="s">
        <v>989</v>
      </c>
      <c r="L52" s="53" t="s">
        <v>404</v>
      </c>
      <c r="M52" s="53" t="s">
        <v>990</v>
      </c>
      <c r="N52" s="53"/>
      <c r="O52" s="85" t="s">
        <v>991</v>
      </c>
      <c r="P52" s="53">
        <v>1</v>
      </c>
      <c r="Q52" s="83">
        <v>393120</v>
      </c>
      <c r="R52" s="84">
        <v>0.8</v>
      </c>
      <c r="S52" s="53"/>
      <c r="T52" s="53"/>
      <c r="U52" s="137" t="s">
        <v>124</v>
      </c>
      <c r="V52" s="138" t="s">
        <v>118</v>
      </c>
      <c r="W52" s="83">
        <v>8760</v>
      </c>
      <c r="X52" s="139">
        <v>0.6</v>
      </c>
      <c r="Y52" s="139">
        <f t="shared" si="7"/>
        <v>0.61643835616438358</v>
      </c>
      <c r="Z52" s="139">
        <v>1</v>
      </c>
      <c r="AA52" s="139">
        <v>1</v>
      </c>
      <c r="AB52" s="83">
        <f t="shared" si="8"/>
        <v>2700</v>
      </c>
      <c r="AC52" s="83">
        <f t="shared" si="9"/>
        <v>2700</v>
      </c>
      <c r="AD52" s="83">
        <f t="shared" si="10"/>
        <v>796.06799999999998</v>
      </c>
      <c r="AE52" s="83">
        <f t="shared" si="11"/>
        <v>796.06799999999998</v>
      </c>
      <c r="AF52" s="85"/>
      <c r="AG52" s="53"/>
      <c r="AH52" s="53"/>
      <c r="AI52" s="53"/>
      <c r="AJ52" s="53"/>
      <c r="AK52" s="53"/>
      <c r="AL52" s="53"/>
      <c r="AM52" s="111">
        <f t="shared" si="12"/>
        <v>796.06799999999998</v>
      </c>
      <c r="AN52" s="111">
        <f t="shared" si="13"/>
        <v>796.06799999999998</v>
      </c>
    </row>
    <row r="53" spans="1:40" s="29" customFormat="1" ht="15.75" x14ac:dyDescent="0.25">
      <c r="A53" s="53">
        <v>43</v>
      </c>
      <c r="B53" s="53"/>
      <c r="C53" s="53"/>
      <c r="D53" s="53" t="s">
        <v>135</v>
      </c>
      <c r="E53" s="53"/>
      <c r="F53" s="53"/>
      <c r="G53" s="53" t="s">
        <v>290</v>
      </c>
      <c r="H53" s="53" t="s">
        <v>291</v>
      </c>
      <c r="I53" s="85" t="s">
        <v>309</v>
      </c>
      <c r="J53" s="85" t="s">
        <v>310</v>
      </c>
      <c r="K53" s="85" t="s">
        <v>989</v>
      </c>
      <c r="L53" s="53" t="s">
        <v>404</v>
      </c>
      <c r="M53" s="53" t="s">
        <v>990</v>
      </c>
      <c r="N53" s="53"/>
      <c r="O53" s="85" t="s">
        <v>991</v>
      </c>
      <c r="P53" s="53">
        <v>1</v>
      </c>
      <c r="Q53" s="83">
        <v>393120</v>
      </c>
      <c r="R53" s="84">
        <v>0.8</v>
      </c>
      <c r="S53" s="53"/>
      <c r="T53" s="53"/>
      <c r="U53" s="137" t="s">
        <v>124</v>
      </c>
      <c r="V53" s="138" t="s">
        <v>118</v>
      </c>
      <c r="W53" s="83">
        <v>8760</v>
      </c>
      <c r="X53" s="139">
        <v>0.6</v>
      </c>
      <c r="Y53" s="139">
        <f t="shared" si="7"/>
        <v>0.61643835616438358</v>
      </c>
      <c r="Z53" s="139">
        <v>1</v>
      </c>
      <c r="AA53" s="139">
        <v>1</v>
      </c>
      <c r="AB53" s="83">
        <f t="shared" si="8"/>
        <v>2700</v>
      </c>
      <c r="AC53" s="83">
        <f t="shared" si="9"/>
        <v>2700</v>
      </c>
      <c r="AD53" s="83">
        <f t="shared" si="10"/>
        <v>796.06799999999998</v>
      </c>
      <c r="AE53" s="83">
        <f t="shared" si="11"/>
        <v>796.06799999999998</v>
      </c>
      <c r="AF53" s="85"/>
      <c r="AG53" s="53"/>
      <c r="AH53" s="53"/>
      <c r="AI53" s="53"/>
      <c r="AJ53" s="53"/>
      <c r="AK53" s="53"/>
      <c r="AL53" s="53"/>
      <c r="AM53" s="111">
        <f t="shared" si="12"/>
        <v>796.06799999999998</v>
      </c>
      <c r="AN53" s="111">
        <f t="shared" si="13"/>
        <v>796.06799999999998</v>
      </c>
    </row>
    <row r="54" spans="1:40" s="29" customFormat="1" ht="15.75" x14ac:dyDescent="0.25">
      <c r="A54" s="53">
        <v>44</v>
      </c>
      <c r="B54" s="53"/>
      <c r="C54" s="53"/>
      <c r="D54" s="53" t="s">
        <v>135</v>
      </c>
      <c r="E54" s="53"/>
      <c r="F54" s="53"/>
      <c r="G54" s="53" t="s">
        <v>290</v>
      </c>
      <c r="H54" s="53" t="s">
        <v>291</v>
      </c>
      <c r="I54" s="85" t="s">
        <v>309</v>
      </c>
      <c r="J54" s="85" t="s">
        <v>310</v>
      </c>
      <c r="K54" s="85" t="s">
        <v>989</v>
      </c>
      <c r="L54" s="53" t="s">
        <v>404</v>
      </c>
      <c r="M54" s="53" t="s">
        <v>990</v>
      </c>
      <c r="N54" s="53"/>
      <c r="O54" s="85" t="s">
        <v>991</v>
      </c>
      <c r="P54" s="53">
        <v>1</v>
      </c>
      <c r="Q54" s="83">
        <v>393120</v>
      </c>
      <c r="R54" s="84">
        <v>0.8</v>
      </c>
      <c r="S54" s="53"/>
      <c r="T54" s="53"/>
      <c r="U54" s="137" t="s">
        <v>124</v>
      </c>
      <c r="V54" s="138" t="s">
        <v>118</v>
      </c>
      <c r="W54" s="83">
        <v>8760</v>
      </c>
      <c r="X54" s="139">
        <v>0.6</v>
      </c>
      <c r="Y54" s="139">
        <f t="shared" si="7"/>
        <v>0.61643835616438358</v>
      </c>
      <c r="Z54" s="139">
        <v>1</v>
      </c>
      <c r="AA54" s="139">
        <v>1</v>
      </c>
      <c r="AB54" s="83">
        <f t="shared" si="8"/>
        <v>2700</v>
      </c>
      <c r="AC54" s="83">
        <f t="shared" si="9"/>
        <v>2700</v>
      </c>
      <c r="AD54" s="83">
        <f t="shared" si="10"/>
        <v>796.06799999999998</v>
      </c>
      <c r="AE54" s="83">
        <f t="shared" si="11"/>
        <v>796.06799999999998</v>
      </c>
      <c r="AF54" s="85"/>
      <c r="AG54" s="53"/>
      <c r="AH54" s="53"/>
      <c r="AI54" s="53"/>
      <c r="AJ54" s="53"/>
      <c r="AK54" s="53"/>
      <c r="AL54" s="53"/>
      <c r="AM54" s="111">
        <f t="shared" si="12"/>
        <v>796.06799999999998</v>
      </c>
      <c r="AN54" s="111">
        <f t="shared" si="13"/>
        <v>796.06799999999998</v>
      </c>
    </row>
    <row r="55" spans="1:40" s="29" customFormat="1" ht="15.75" x14ac:dyDescent="0.25">
      <c r="A55" s="53">
        <v>45</v>
      </c>
      <c r="B55" s="53"/>
      <c r="C55" s="53"/>
      <c r="D55" s="53" t="s">
        <v>135</v>
      </c>
      <c r="E55" s="53"/>
      <c r="F55" s="53"/>
      <c r="G55" s="53" t="s">
        <v>290</v>
      </c>
      <c r="H55" s="53" t="s">
        <v>291</v>
      </c>
      <c r="I55" s="85" t="s">
        <v>317</v>
      </c>
      <c r="J55" s="85" t="s">
        <v>318</v>
      </c>
      <c r="K55" s="85" t="s">
        <v>989</v>
      </c>
      <c r="L55" s="53" t="s">
        <v>404</v>
      </c>
      <c r="M55" s="53" t="s">
        <v>990</v>
      </c>
      <c r="N55" s="53"/>
      <c r="O55" s="85" t="s">
        <v>991</v>
      </c>
      <c r="P55" s="53">
        <v>1</v>
      </c>
      <c r="Q55" s="83">
        <v>393120</v>
      </c>
      <c r="R55" s="84">
        <v>0.8</v>
      </c>
      <c r="S55" s="53"/>
      <c r="T55" s="53"/>
      <c r="U55" s="137" t="s">
        <v>124</v>
      </c>
      <c r="V55" s="138" t="s">
        <v>118</v>
      </c>
      <c r="W55" s="83">
        <v>8760</v>
      </c>
      <c r="X55" s="139">
        <v>0.6</v>
      </c>
      <c r="Y55" s="139">
        <f t="shared" si="7"/>
        <v>0.61643835616438358</v>
      </c>
      <c r="Z55" s="139">
        <v>1</v>
      </c>
      <c r="AA55" s="139">
        <v>1</v>
      </c>
      <c r="AB55" s="83">
        <f t="shared" si="8"/>
        <v>2700</v>
      </c>
      <c r="AC55" s="83">
        <f t="shared" si="9"/>
        <v>2700</v>
      </c>
      <c r="AD55" s="83">
        <f t="shared" si="10"/>
        <v>796.06799999999998</v>
      </c>
      <c r="AE55" s="83">
        <f t="shared" si="11"/>
        <v>796.06799999999998</v>
      </c>
      <c r="AF55" s="85"/>
      <c r="AG55" s="53"/>
      <c r="AH55" s="53"/>
      <c r="AI55" s="53"/>
      <c r="AJ55" s="53"/>
      <c r="AK55" s="53"/>
      <c r="AL55" s="53"/>
      <c r="AM55" s="111">
        <f t="shared" si="12"/>
        <v>796.06799999999998</v>
      </c>
      <c r="AN55" s="111">
        <f t="shared" si="13"/>
        <v>796.06799999999998</v>
      </c>
    </row>
    <row r="56" spans="1:40" s="29" customFormat="1" ht="15.75" x14ac:dyDescent="0.25">
      <c r="A56" s="53">
        <v>46</v>
      </c>
      <c r="B56" s="53"/>
      <c r="C56" s="53"/>
      <c r="D56" s="53" t="s">
        <v>135</v>
      </c>
      <c r="E56" s="53"/>
      <c r="F56" s="53"/>
      <c r="G56" s="53" t="s">
        <v>290</v>
      </c>
      <c r="H56" s="53" t="s">
        <v>291</v>
      </c>
      <c r="I56" s="85" t="s">
        <v>317</v>
      </c>
      <c r="J56" s="85" t="s">
        <v>318</v>
      </c>
      <c r="K56" s="85" t="s">
        <v>989</v>
      </c>
      <c r="L56" s="53" t="s">
        <v>404</v>
      </c>
      <c r="M56" s="53" t="s">
        <v>990</v>
      </c>
      <c r="N56" s="53"/>
      <c r="O56" s="85" t="s">
        <v>991</v>
      </c>
      <c r="P56" s="53">
        <v>1</v>
      </c>
      <c r="Q56" s="83">
        <v>393120</v>
      </c>
      <c r="R56" s="84">
        <v>0.8</v>
      </c>
      <c r="S56" s="53"/>
      <c r="T56" s="53"/>
      <c r="U56" s="137" t="s">
        <v>124</v>
      </c>
      <c r="V56" s="138" t="s">
        <v>118</v>
      </c>
      <c r="W56" s="83">
        <v>8760</v>
      </c>
      <c r="X56" s="139">
        <v>0.6</v>
      </c>
      <c r="Y56" s="139">
        <f t="shared" si="7"/>
        <v>0.61643835616438358</v>
      </c>
      <c r="Z56" s="139">
        <v>1</v>
      </c>
      <c r="AA56" s="139">
        <v>1</v>
      </c>
      <c r="AB56" s="83">
        <f t="shared" si="8"/>
        <v>2700</v>
      </c>
      <c r="AC56" s="83">
        <f t="shared" si="9"/>
        <v>2700</v>
      </c>
      <c r="AD56" s="83">
        <f t="shared" si="10"/>
        <v>796.06799999999998</v>
      </c>
      <c r="AE56" s="83">
        <f t="shared" si="11"/>
        <v>796.06799999999998</v>
      </c>
      <c r="AF56" s="85"/>
      <c r="AG56" s="53"/>
      <c r="AH56" s="53"/>
      <c r="AI56" s="53"/>
      <c r="AJ56" s="53"/>
      <c r="AK56" s="53"/>
      <c r="AL56" s="53"/>
      <c r="AM56" s="111">
        <f t="shared" si="12"/>
        <v>796.06799999999998</v>
      </c>
      <c r="AN56" s="111">
        <f t="shared" si="13"/>
        <v>796.06799999999998</v>
      </c>
    </row>
    <row r="57" spans="1:40" s="29" customFormat="1" ht="15.75" x14ac:dyDescent="0.25">
      <c r="A57" s="53">
        <v>47</v>
      </c>
      <c r="B57" s="53"/>
      <c r="C57" s="53"/>
      <c r="D57" s="53" t="s">
        <v>135</v>
      </c>
      <c r="E57" s="53"/>
      <c r="F57" s="53"/>
      <c r="G57" s="53" t="s">
        <v>290</v>
      </c>
      <c r="H57" s="53" t="s">
        <v>291</v>
      </c>
      <c r="I57" s="85" t="s">
        <v>327</v>
      </c>
      <c r="J57" s="85" t="s">
        <v>328</v>
      </c>
      <c r="K57" s="85" t="s">
        <v>989</v>
      </c>
      <c r="L57" s="53" t="s">
        <v>404</v>
      </c>
      <c r="M57" s="53" t="s">
        <v>990</v>
      </c>
      <c r="N57" s="53"/>
      <c r="O57" s="85" t="s">
        <v>991</v>
      </c>
      <c r="P57" s="53">
        <v>1</v>
      </c>
      <c r="Q57" s="83">
        <v>542880</v>
      </c>
      <c r="R57" s="84">
        <v>0.8</v>
      </c>
      <c r="S57" s="53"/>
      <c r="T57" s="53"/>
      <c r="U57" s="137" t="s">
        <v>124</v>
      </c>
      <c r="V57" s="138" t="s">
        <v>118</v>
      </c>
      <c r="W57" s="83">
        <v>8760</v>
      </c>
      <c r="X57" s="139">
        <v>0.6</v>
      </c>
      <c r="Y57" s="139">
        <f t="shared" si="7"/>
        <v>0.61643835616438358</v>
      </c>
      <c r="Z57" s="139">
        <v>1</v>
      </c>
      <c r="AA57" s="139">
        <v>1</v>
      </c>
      <c r="AB57" s="83">
        <f t="shared" si="8"/>
        <v>2700</v>
      </c>
      <c r="AC57" s="83">
        <f t="shared" si="9"/>
        <v>2700</v>
      </c>
      <c r="AD57" s="83">
        <f t="shared" si="10"/>
        <v>1099.3319999999999</v>
      </c>
      <c r="AE57" s="83">
        <f t="shared" si="11"/>
        <v>1099.3319999999999</v>
      </c>
      <c r="AF57" s="85"/>
      <c r="AG57" s="53"/>
      <c r="AH57" s="53"/>
      <c r="AI57" s="53"/>
      <c r="AJ57" s="53"/>
      <c r="AK57" s="53"/>
      <c r="AL57" s="53"/>
      <c r="AM57" s="111">
        <f t="shared" si="12"/>
        <v>1099.3319999999999</v>
      </c>
      <c r="AN57" s="111">
        <f t="shared" si="13"/>
        <v>1099.3319999999999</v>
      </c>
    </row>
    <row r="58" spans="1:40" s="29" customFormat="1" ht="15.75" x14ac:dyDescent="0.25">
      <c r="A58" s="53">
        <v>48</v>
      </c>
      <c r="B58" s="53"/>
      <c r="C58" s="53"/>
      <c r="D58" s="53" t="s">
        <v>135</v>
      </c>
      <c r="E58" s="53"/>
      <c r="F58" s="53"/>
      <c r="G58" s="53" t="s">
        <v>290</v>
      </c>
      <c r="H58" s="53" t="s">
        <v>291</v>
      </c>
      <c r="I58" s="85" t="s">
        <v>327</v>
      </c>
      <c r="J58" s="85" t="s">
        <v>328</v>
      </c>
      <c r="K58" s="85" t="s">
        <v>989</v>
      </c>
      <c r="L58" s="53" t="s">
        <v>404</v>
      </c>
      <c r="M58" s="53" t="s">
        <v>990</v>
      </c>
      <c r="N58" s="53"/>
      <c r="O58" s="85" t="s">
        <v>991</v>
      </c>
      <c r="P58" s="53">
        <v>1</v>
      </c>
      <c r="Q58" s="83">
        <v>542880</v>
      </c>
      <c r="R58" s="84">
        <v>0.8</v>
      </c>
      <c r="S58" s="53"/>
      <c r="T58" s="53"/>
      <c r="U58" s="137" t="s">
        <v>124</v>
      </c>
      <c r="V58" s="138" t="s">
        <v>118</v>
      </c>
      <c r="W58" s="83">
        <v>8760</v>
      </c>
      <c r="X58" s="139">
        <v>0.6</v>
      </c>
      <c r="Y58" s="139">
        <f t="shared" si="7"/>
        <v>0.61643835616438358</v>
      </c>
      <c r="Z58" s="139">
        <v>1</v>
      </c>
      <c r="AA58" s="139">
        <v>1</v>
      </c>
      <c r="AB58" s="83">
        <f t="shared" si="8"/>
        <v>2700</v>
      </c>
      <c r="AC58" s="83">
        <f t="shared" si="9"/>
        <v>2700</v>
      </c>
      <c r="AD58" s="83">
        <f t="shared" si="10"/>
        <v>1099.3319999999999</v>
      </c>
      <c r="AE58" s="83">
        <f t="shared" si="11"/>
        <v>1099.3319999999999</v>
      </c>
      <c r="AF58" s="85"/>
      <c r="AG58" s="53"/>
      <c r="AH58" s="53"/>
      <c r="AI58" s="53"/>
      <c r="AJ58" s="53"/>
      <c r="AK58" s="53"/>
      <c r="AL58" s="53"/>
      <c r="AM58" s="111">
        <f t="shared" si="12"/>
        <v>1099.3319999999999</v>
      </c>
      <c r="AN58" s="111">
        <f t="shared" si="13"/>
        <v>1099.3319999999999</v>
      </c>
    </row>
    <row r="59" spans="1:40" s="29" customFormat="1" ht="15.75" x14ac:dyDescent="0.25">
      <c r="A59" s="53">
        <v>49</v>
      </c>
      <c r="B59" s="53"/>
      <c r="C59" s="53"/>
      <c r="D59" s="53" t="s">
        <v>135</v>
      </c>
      <c r="E59" s="53"/>
      <c r="F59" s="53"/>
      <c r="G59" s="53" t="s">
        <v>290</v>
      </c>
      <c r="H59" s="53" t="s">
        <v>291</v>
      </c>
      <c r="I59" s="85" t="s">
        <v>327</v>
      </c>
      <c r="J59" s="85" t="s">
        <v>328</v>
      </c>
      <c r="K59" s="85" t="s">
        <v>989</v>
      </c>
      <c r="L59" s="53" t="s">
        <v>404</v>
      </c>
      <c r="M59" s="53" t="s">
        <v>990</v>
      </c>
      <c r="N59" s="53"/>
      <c r="O59" s="85" t="s">
        <v>991</v>
      </c>
      <c r="P59" s="53">
        <v>1</v>
      </c>
      <c r="Q59" s="83">
        <v>542880</v>
      </c>
      <c r="R59" s="84">
        <v>0.8</v>
      </c>
      <c r="S59" s="53"/>
      <c r="T59" s="53"/>
      <c r="U59" s="137" t="s">
        <v>124</v>
      </c>
      <c r="V59" s="138" t="s">
        <v>118</v>
      </c>
      <c r="W59" s="83">
        <v>8760</v>
      </c>
      <c r="X59" s="139">
        <v>0.6</v>
      </c>
      <c r="Y59" s="139">
        <f t="shared" si="7"/>
        <v>0.61643835616438358</v>
      </c>
      <c r="Z59" s="139">
        <v>1</v>
      </c>
      <c r="AA59" s="139">
        <v>1</v>
      </c>
      <c r="AB59" s="83">
        <f t="shared" si="8"/>
        <v>2700</v>
      </c>
      <c r="AC59" s="83">
        <f t="shared" si="9"/>
        <v>2700</v>
      </c>
      <c r="AD59" s="83">
        <f t="shared" si="10"/>
        <v>1099.3319999999999</v>
      </c>
      <c r="AE59" s="83">
        <f t="shared" si="11"/>
        <v>1099.3319999999999</v>
      </c>
      <c r="AF59" s="85"/>
      <c r="AG59" s="53"/>
      <c r="AH59" s="53"/>
      <c r="AI59" s="53"/>
      <c r="AJ59" s="53"/>
      <c r="AK59" s="53"/>
      <c r="AL59" s="53"/>
      <c r="AM59" s="111">
        <f t="shared" si="12"/>
        <v>1099.3319999999999</v>
      </c>
      <c r="AN59" s="111">
        <f t="shared" si="13"/>
        <v>1099.3319999999999</v>
      </c>
    </row>
    <row r="60" spans="1:40" s="29" customFormat="1" ht="15.75" x14ac:dyDescent="0.25">
      <c r="A60" s="53">
        <v>50</v>
      </c>
      <c r="B60" s="53"/>
      <c r="C60" s="53"/>
      <c r="D60" s="53" t="s">
        <v>135</v>
      </c>
      <c r="E60" s="53"/>
      <c r="F60" s="53"/>
      <c r="G60" s="53" t="s">
        <v>290</v>
      </c>
      <c r="H60" s="53" t="s">
        <v>291</v>
      </c>
      <c r="I60" s="85" t="s">
        <v>325</v>
      </c>
      <c r="J60" s="85" t="s">
        <v>326</v>
      </c>
      <c r="K60" s="85" t="s">
        <v>989</v>
      </c>
      <c r="L60" s="53" t="s">
        <v>404</v>
      </c>
      <c r="M60" s="53" t="s">
        <v>990</v>
      </c>
      <c r="N60" s="53"/>
      <c r="O60" s="85" t="s">
        <v>991</v>
      </c>
      <c r="P60" s="53">
        <v>1</v>
      </c>
      <c r="Q60" s="83">
        <v>542880</v>
      </c>
      <c r="R60" s="84">
        <v>0.8</v>
      </c>
      <c r="S60" s="53"/>
      <c r="T60" s="53"/>
      <c r="U60" s="137" t="s">
        <v>124</v>
      </c>
      <c r="V60" s="138" t="s">
        <v>118</v>
      </c>
      <c r="W60" s="83">
        <v>8760</v>
      </c>
      <c r="X60" s="139">
        <v>0.6</v>
      </c>
      <c r="Y60" s="139">
        <f t="shared" si="7"/>
        <v>0.61643835616438358</v>
      </c>
      <c r="Z60" s="139">
        <v>1</v>
      </c>
      <c r="AA60" s="139">
        <v>1</v>
      </c>
      <c r="AB60" s="83">
        <f t="shared" si="8"/>
        <v>2700</v>
      </c>
      <c r="AC60" s="83">
        <f t="shared" si="9"/>
        <v>2700</v>
      </c>
      <c r="AD60" s="83">
        <f t="shared" si="10"/>
        <v>1099.3319999999999</v>
      </c>
      <c r="AE60" s="83">
        <f t="shared" si="11"/>
        <v>1099.3319999999999</v>
      </c>
      <c r="AF60" s="85"/>
      <c r="AG60" s="53"/>
      <c r="AH60" s="53"/>
      <c r="AI60" s="53"/>
      <c r="AJ60" s="53"/>
      <c r="AK60" s="53"/>
      <c r="AL60" s="53"/>
      <c r="AM60" s="111">
        <f t="shared" si="12"/>
        <v>1099.3319999999999</v>
      </c>
      <c r="AN60" s="111">
        <f t="shared" si="13"/>
        <v>1099.3319999999999</v>
      </c>
    </row>
    <row r="61" spans="1:40" s="29" customFormat="1" ht="15.75" x14ac:dyDescent="0.25">
      <c r="A61" s="53">
        <v>51</v>
      </c>
      <c r="B61" s="53"/>
      <c r="C61" s="53"/>
      <c r="D61" s="53" t="s">
        <v>135</v>
      </c>
      <c r="E61" s="53"/>
      <c r="F61" s="53"/>
      <c r="G61" s="53" t="s">
        <v>290</v>
      </c>
      <c r="H61" s="53" t="s">
        <v>291</v>
      </c>
      <c r="I61" s="85" t="s">
        <v>327</v>
      </c>
      <c r="J61" s="85" t="s">
        <v>328</v>
      </c>
      <c r="K61" s="85" t="s">
        <v>989</v>
      </c>
      <c r="L61" s="53" t="s">
        <v>404</v>
      </c>
      <c r="M61" s="53" t="s">
        <v>990</v>
      </c>
      <c r="N61" s="53"/>
      <c r="O61" s="85" t="s">
        <v>991</v>
      </c>
      <c r="P61" s="53">
        <v>1</v>
      </c>
      <c r="Q61" s="83">
        <v>542880</v>
      </c>
      <c r="R61" s="84">
        <v>0.8</v>
      </c>
      <c r="S61" s="53"/>
      <c r="T61" s="53"/>
      <c r="U61" s="137" t="s">
        <v>124</v>
      </c>
      <c r="V61" s="138" t="s">
        <v>118</v>
      </c>
      <c r="W61" s="83">
        <v>8760</v>
      </c>
      <c r="X61" s="139">
        <v>0.6</v>
      </c>
      <c r="Y61" s="139">
        <f t="shared" si="7"/>
        <v>0.61643835616438358</v>
      </c>
      <c r="Z61" s="139">
        <v>1</v>
      </c>
      <c r="AA61" s="139">
        <v>1</v>
      </c>
      <c r="AB61" s="83">
        <f t="shared" si="8"/>
        <v>2700</v>
      </c>
      <c r="AC61" s="83">
        <f t="shared" si="9"/>
        <v>2700</v>
      </c>
      <c r="AD61" s="83">
        <f t="shared" si="10"/>
        <v>1099.3319999999999</v>
      </c>
      <c r="AE61" s="83">
        <f t="shared" si="11"/>
        <v>1099.3319999999999</v>
      </c>
      <c r="AF61" s="85"/>
      <c r="AG61" s="53"/>
      <c r="AH61" s="53"/>
      <c r="AI61" s="53"/>
      <c r="AJ61" s="53"/>
      <c r="AK61" s="53"/>
      <c r="AL61" s="53"/>
      <c r="AM61" s="111">
        <f t="shared" si="12"/>
        <v>1099.3319999999999</v>
      </c>
      <c r="AN61" s="111">
        <f t="shared" si="13"/>
        <v>1099.3319999999999</v>
      </c>
    </row>
    <row r="62" spans="1:40" s="29" customFormat="1" ht="15.75" x14ac:dyDescent="0.25">
      <c r="A62" s="53">
        <v>52</v>
      </c>
      <c r="B62" s="53"/>
      <c r="C62" s="53"/>
      <c r="D62" s="53" t="s">
        <v>135</v>
      </c>
      <c r="E62" s="53"/>
      <c r="F62" s="53"/>
      <c r="G62" s="53" t="s">
        <v>290</v>
      </c>
      <c r="H62" s="53" t="s">
        <v>291</v>
      </c>
      <c r="I62" s="85" t="s">
        <v>327</v>
      </c>
      <c r="J62" s="85" t="s">
        <v>328</v>
      </c>
      <c r="K62" s="85" t="s">
        <v>989</v>
      </c>
      <c r="L62" s="53" t="s">
        <v>404</v>
      </c>
      <c r="M62" s="53" t="s">
        <v>990</v>
      </c>
      <c r="N62" s="53"/>
      <c r="O62" s="85" t="s">
        <v>991</v>
      </c>
      <c r="P62" s="53">
        <v>1</v>
      </c>
      <c r="Q62" s="83">
        <v>542880</v>
      </c>
      <c r="R62" s="84">
        <v>0.8</v>
      </c>
      <c r="S62" s="53"/>
      <c r="T62" s="53"/>
      <c r="U62" s="137" t="s">
        <v>124</v>
      </c>
      <c r="V62" s="138" t="s">
        <v>118</v>
      </c>
      <c r="W62" s="83">
        <v>8760</v>
      </c>
      <c r="X62" s="139">
        <v>0.6</v>
      </c>
      <c r="Y62" s="139">
        <f t="shared" si="7"/>
        <v>0.61643835616438358</v>
      </c>
      <c r="Z62" s="139">
        <v>1</v>
      </c>
      <c r="AA62" s="139">
        <v>1</v>
      </c>
      <c r="AB62" s="83">
        <f t="shared" si="8"/>
        <v>2700</v>
      </c>
      <c r="AC62" s="83">
        <f t="shared" si="9"/>
        <v>2700</v>
      </c>
      <c r="AD62" s="83">
        <f t="shared" si="10"/>
        <v>1099.3319999999999</v>
      </c>
      <c r="AE62" s="83">
        <f t="shared" si="11"/>
        <v>1099.3319999999999</v>
      </c>
      <c r="AF62" s="85"/>
      <c r="AG62" s="53"/>
      <c r="AH62" s="53"/>
      <c r="AI62" s="53"/>
      <c r="AJ62" s="53"/>
      <c r="AK62" s="53"/>
      <c r="AL62" s="53"/>
      <c r="AM62" s="111">
        <f t="shared" si="12"/>
        <v>1099.3319999999999</v>
      </c>
      <c r="AN62" s="111">
        <f t="shared" si="13"/>
        <v>1099.3319999999999</v>
      </c>
    </row>
    <row r="63" spans="1:40" s="29" customFormat="1" ht="15.75" x14ac:dyDescent="0.25">
      <c r="A63" s="53">
        <v>53</v>
      </c>
      <c r="B63" s="53"/>
      <c r="C63" s="53"/>
      <c r="D63" s="53" t="s">
        <v>135</v>
      </c>
      <c r="E63" s="53"/>
      <c r="F63" s="53"/>
      <c r="G63" s="53" t="s">
        <v>290</v>
      </c>
      <c r="H63" s="53" t="s">
        <v>291</v>
      </c>
      <c r="I63" s="85" t="s">
        <v>401</v>
      </c>
      <c r="J63" s="85" t="s">
        <v>548</v>
      </c>
      <c r="K63" s="85" t="s">
        <v>989</v>
      </c>
      <c r="L63" s="53" t="s">
        <v>404</v>
      </c>
      <c r="M63" s="53" t="s">
        <v>990</v>
      </c>
      <c r="N63" s="53"/>
      <c r="O63" s="85" t="s">
        <v>991</v>
      </c>
      <c r="P63" s="53">
        <v>1</v>
      </c>
      <c r="Q63" s="83">
        <v>491220</v>
      </c>
      <c r="R63" s="84">
        <v>0.8</v>
      </c>
      <c r="S63" s="53"/>
      <c r="T63" s="53"/>
      <c r="U63" s="137" t="s">
        <v>124</v>
      </c>
      <c r="V63" s="138" t="s">
        <v>118</v>
      </c>
      <c r="W63" s="83">
        <v>8760</v>
      </c>
      <c r="X63" s="139">
        <v>0.6</v>
      </c>
      <c r="Y63" s="139">
        <f t="shared" si="7"/>
        <v>0.61643835616438358</v>
      </c>
      <c r="Z63" s="139">
        <v>1</v>
      </c>
      <c r="AA63" s="139">
        <v>1</v>
      </c>
      <c r="AB63" s="83">
        <f t="shared" si="8"/>
        <v>2700</v>
      </c>
      <c r="AC63" s="83">
        <f t="shared" si="9"/>
        <v>2700</v>
      </c>
      <c r="AD63" s="83">
        <f t="shared" si="10"/>
        <v>994.72050000000002</v>
      </c>
      <c r="AE63" s="83">
        <f t="shared" si="11"/>
        <v>994.72050000000002</v>
      </c>
      <c r="AF63" s="85"/>
      <c r="AG63" s="53"/>
      <c r="AH63" s="53"/>
      <c r="AI63" s="53"/>
      <c r="AJ63" s="53"/>
      <c r="AK63" s="53"/>
      <c r="AL63" s="53"/>
      <c r="AM63" s="111">
        <f t="shared" si="12"/>
        <v>994.72050000000002</v>
      </c>
      <c r="AN63" s="111">
        <f t="shared" si="13"/>
        <v>994.72050000000002</v>
      </c>
    </row>
    <row r="64" spans="1:40" s="29" customFormat="1" ht="15.75" x14ac:dyDescent="0.25">
      <c r="A64" s="53">
        <v>54</v>
      </c>
      <c r="B64" s="53"/>
      <c r="C64" s="53"/>
      <c r="D64" s="53" t="s">
        <v>135</v>
      </c>
      <c r="E64" s="53"/>
      <c r="F64" s="53"/>
      <c r="G64" s="53" t="s">
        <v>290</v>
      </c>
      <c r="H64" s="53" t="s">
        <v>291</v>
      </c>
      <c r="I64" s="85" t="s">
        <v>401</v>
      </c>
      <c r="J64" s="85" t="s">
        <v>933</v>
      </c>
      <c r="K64" s="85" t="s">
        <v>989</v>
      </c>
      <c r="L64" s="53" t="s">
        <v>404</v>
      </c>
      <c r="M64" s="53" t="s">
        <v>990</v>
      </c>
      <c r="N64" s="53"/>
      <c r="O64" s="85" t="s">
        <v>991</v>
      </c>
      <c r="P64" s="53">
        <v>1</v>
      </c>
      <c r="Q64" s="83">
        <v>136450</v>
      </c>
      <c r="R64" s="84">
        <v>0.8</v>
      </c>
      <c r="S64" s="53"/>
      <c r="T64" s="53"/>
      <c r="U64" s="137" t="s">
        <v>124</v>
      </c>
      <c r="V64" s="138" t="s">
        <v>118</v>
      </c>
      <c r="W64" s="83">
        <v>8760</v>
      </c>
      <c r="X64" s="139">
        <v>0.6</v>
      </c>
      <c r="Y64" s="139">
        <f t="shared" si="7"/>
        <v>0.61643835616438358</v>
      </c>
      <c r="Z64" s="139">
        <v>1</v>
      </c>
      <c r="AA64" s="139">
        <v>1</v>
      </c>
      <c r="AB64" s="83">
        <f t="shared" si="8"/>
        <v>2700</v>
      </c>
      <c r="AC64" s="83">
        <f t="shared" si="9"/>
        <v>2700</v>
      </c>
      <c r="AD64" s="83">
        <f t="shared" si="10"/>
        <v>276.31124999999997</v>
      </c>
      <c r="AE64" s="83">
        <f t="shared" si="11"/>
        <v>276.31124999999997</v>
      </c>
      <c r="AF64" s="85"/>
      <c r="AG64" s="53"/>
      <c r="AH64" s="53"/>
      <c r="AI64" s="53"/>
      <c r="AJ64" s="53"/>
      <c r="AK64" s="53"/>
      <c r="AL64" s="53"/>
      <c r="AM64" s="111">
        <f t="shared" si="12"/>
        <v>276.31124999999997</v>
      </c>
      <c r="AN64" s="111">
        <f t="shared" si="13"/>
        <v>276.31124999999997</v>
      </c>
    </row>
    <row r="65" spans="1:40" s="29" customFormat="1" ht="15.75" x14ac:dyDescent="0.25">
      <c r="A65" s="53">
        <v>55</v>
      </c>
      <c r="B65" s="53"/>
      <c r="C65" s="53"/>
      <c r="D65" s="53" t="s">
        <v>135</v>
      </c>
      <c r="E65" s="53"/>
      <c r="F65" s="53"/>
      <c r="G65" s="53" t="s">
        <v>290</v>
      </c>
      <c r="H65" s="53" t="s">
        <v>291</v>
      </c>
      <c r="I65" s="85" t="s">
        <v>401</v>
      </c>
      <c r="J65" s="85" t="s">
        <v>577</v>
      </c>
      <c r="K65" s="85" t="s">
        <v>989</v>
      </c>
      <c r="L65" s="53" t="s">
        <v>404</v>
      </c>
      <c r="M65" s="53" t="s">
        <v>990</v>
      </c>
      <c r="N65" s="53"/>
      <c r="O65" s="85" t="s">
        <v>991</v>
      </c>
      <c r="P65" s="53">
        <v>1</v>
      </c>
      <c r="Q65" s="83">
        <v>491220</v>
      </c>
      <c r="R65" s="84">
        <v>0.8</v>
      </c>
      <c r="S65" s="53"/>
      <c r="T65" s="53"/>
      <c r="U65" s="137" t="s">
        <v>124</v>
      </c>
      <c r="V65" s="138" t="s">
        <v>118</v>
      </c>
      <c r="W65" s="83">
        <v>8760</v>
      </c>
      <c r="X65" s="139">
        <v>0.6</v>
      </c>
      <c r="Y65" s="139">
        <f t="shared" si="7"/>
        <v>0.61643835616438358</v>
      </c>
      <c r="Z65" s="139">
        <v>1</v>
      </c>
      <c r="AA65" s="139">
        <v>1</v>
      </c>
      <c r="AB65" s="83">
        <f t="shared" si="8"/>
        <v>2700</v>
      </c>
      <c r="AC65" s="83">
        <f t="shared" si="9"/>
        <v>2700</v>
      </c>
      <c r="AD65" s="83">
        <f t="shared" si="10"/>
        <v>994.72050000000002</v>
      </c>
      <c r="AE65" s="83">
        <f t="shared" si="11"/>
        <v>994.72050000000002</v>
      </c>
      <c r="AF65" s="85"/>
      <c r="AG65" s="53"/>
      <c r="AH65" s="53"/>
      <c r="AI65" s="53"/>
      <c r="AJ65" s="53"/>
      <c r="AK65" s="53"/>
      <c r="AL65" s="53"/>
      <c r="AM65" s="111">
        <f t="shared" si="12"/>
        <v>994.72050000000002</v>
      </c>
      <c r="AN65" s="111">
        <f t="shared" si="13"/>
        <v>994.72050000000002</v>
      </c>
    </row>
    <row r="66" spans="1:40" s="29" customFormat="1" ht="15.75" x14ac:dyDescent="0.25">
      <c r="A66" s="53">
        <v>56</v>
      </c>
      <c r="B66" s="53"/>
      <c r="C66" s="53"/>
      <c r="D66" s="53" t="s">
        <v>135</v>
      </c>
      <c r="E66" s="53"/>
      <c r="F66" s="53"/>
      <c r="G66" s="53" t="s">
        <v>290</v>
      </c>
      <c r="H66" s="53" t="s">
        <v>291</v>
      </c>
      <c r="I66" s="85" t="s">
        <v>401</v>
      </c>
      <c r="J66" s="85" t="s">
        <v>556</v>
      </c>
      <c r="K66" s="85" t="s">
        <v>989</v>
      </c>
      <c r="L66" s="53" t="s">
        <v>404</v>
      </c>
      <c r="M66" s="53" t="s">
        <v>990</v>
      </c>
      <c r="N66" s="53"/>
      <c r="O66" s="85" t="s">
        <v>991</v>
      </c>
      <c r="P66" s="53">
        <v>1</v>
      </c>
      <c r="Q66" s="83">
        <v>136450</v>
      </c>
      <c r="R66" s="84">
        <v>0.8</v>
      </c>
      <c r="S66" s="53"/>
      <c r="T66" s="53"/>
      <c r="U66" s="137" t="s">
        <v>124</v>
      </c>
      <c r="V66" s="138" t="s">
        <v>118</v>
      </c>
      <c r="W66" s="83">
        <v>8760</v>
      </c>
      <c r="X66" s="139">
        <v>0.6</v>
      </c>
      <c r="Y66" s="139">
        <f t="shared" si="7"/>
        <v>0.61643835616438358</v>
      </c>
      <c r="Z66" s="139">
        <v>1</v>
      </c>
      <c r="AA66" s="139">
        <v>1</v>
      </c>
      <c r="AB66" s="83">
        <f t="shared" si="8"/>
        <v>2700</v>
      </c>
      <c r="AC66" s="83">
        <f t="shared" si="9"/>
        <v>2700</v>
      </c>
      <c r="AD66" s="83">
        <f t="shared" si="10"/>
        <v>276.31124999999997</v>
      </c>
      <c r="AE66" s="83">
        <f t="shared" si="11"/>
        <v>276.31124999999997</v>
      </c>
      <c r="AF66" s="85"/>
      <c r="AG66" s="53"/>
      <c r="AH66" s="53"/>
      <c r="AI66" s="53"/>
      <c r="AJ66" s="53"/>
      <c r="AK66" s="53"/>
      <c r="AL66" s="53"/>
      <c r="AM66" s="111">
        <f t="shared" si="12"/>
        <v>276.31124999999997</v>
      </c>
      <c r="AN66" s="111">
        <f t="shared" si="13"/>
        <v>276.31124999999997</v>
      </c>
    </row>
    <row r="67" spans="1:40" s="29" customFormat="1" ht="15.75" x14ac:dyDescent="0.25">
      <c r="A67" s="53">
        <v>57</v>
      </c>
      <c r="B67" s="53"/>
      <c r="C67" s="53"/>
      <c r="D67" s="53" t="s">
        <v>135</v>
      </c>
      <c r="E67" s="53"/>
      <c r="F67" s="53"/>
      <c r="G67" s="53" t="s">
        <v>290</v>
      </c>
      <c r="H67" s="53" t="s">
        <v>291</v>
      </c>
      <c r="I67" s="85" t="s">
        <v>319</v>
      </c>
      <c r="J67" s="85" t="s">
        <v>320</v>
      </c>
      <c r="K67" s="85" t="s">
        <v>989</v>
      </c>
      <c r="L67" s="53" t="s">
        <v>404</v>
      </c>
      <c r="M67" s="53" t="s">
        <v>990</v>
      </c>
      <c r="N67" s="53"/>
      <c r="O67" s="85" t="s">
        <v>991</v>
      </c>
      <c r="P67" s="53">
        <v>1</v>
      </c>
      <c r="Q67" s="83">
        <v>486720</v>
      </c>
      <c r="R67" s="84">
        <v>0.8</v>
      </c>
      <c r="S67" s="53"/>
      <c r="T67" s="53"/>
      <c r="U67" s="137" t="s">
        <v>124</v>
      </c>
      <c r="V67" s="138" t="s">
        <v>118</v>
      </c>
      <c r="W67" s="83">
        <v>8760</v>
      </c>
      <c r="X67" s="139">
        <v>0.6</v>
      </c>
      <c r="Y67" s="139">
        <f t="shared" si="7"/>
        <v>0.61643835616438358</v>
      </c>
      <c r="Z67" s="139">
        <v>1</v>
      </c>
      <c r="AA67" s="139">
        <v>1</v>
      </c>
      <c r="AB67" s="83">
        <f t="shared" si="8"/>
        <v>2700</v>
      </c>
      <c r="AC67" s="83">
        <f t="shared" si="9"/>
        <v>2700</v>
      </c>
      <c r="AD67" s="83">
        <f t="shared" si="10"/>
        <v>985.60799999999995</v>
      </c>
      <c r="AE67" s="83">
        <f t="shared" si="11"/>
        <v>985.60799999999995</v>
      </c>
      <c r="AF67" s="85"/>
      <c r="AG67" s="53"/>
      <c r="AH67" s="53"/>
      <c r="AI67" s="53"/>
      <c r="AJ67" s="53"/>
      <c r="AK67" s="53"/>
      <c r="AL67" s="53"/>
      <c r="AM67" s="111">
        <f t="shared" si="12"/>
        <v>985.60799999999995</v>
      </c>
      <c r="AN67" s="111">
        <f t="shared" si="13"/>
        <v>985.60799999999995</v>
      </c>
    </row>
    <row r="68" spans="1:40" s="29" customFormat="1" ht="15.75" x14ac:dyDescent="0.25">
      <c r="A68" s="53">
        <v>58</v>
      </c>
      <c r="B68" s="53"/>
      <c r="C68" s="53"/>
      <c r="D68" s="53" t="s">
        <v>135</v>
      </c>
      <c r="E68" s="53"/>
      <c r="F68" s="53"/>
      <c r="G68" s="53" t="s">
        <v>290</v>
      </c>
      <c r="H68" s="53" t="s">
        <v>291</v>
      </c>
      <c r="I68" s="85" t="s">
        <v>319</v>
      </c>
      <c r="J68" s="85" t="s">
        <v>320</v>
      </c>
      <c r="K68" s="85" t="s">
        <v>989</v>
      </c>
      <c r="L68" s="53" t="s">
        <v>404</v>
      </c>
      <c r="M68" s="53" t="s">
        <v>990</v>
      </c>
      <c r="N68" s="53"/>
      <c r="O68" s="85" t="s">
        <v>991</v>
      </c>
      <c r="P68" s="53">
        <v>1</v>
      </c>
      <c r="Q68" s="83">
        <v>486720</v>
      </c>
      <c r="R68" s="84">
        <v>0.8</v>
      </c>
      <c r="S68" s="53"/>
      <c r="T68" s="53"/>
      <c r="U68" s="137" t="s">
        <v>124</v>
      </c>
      <c r="V68" s="138" t="s">
        <v>118</v>
      </c>
      <c r="W68" s="83">
        <v>8760</v>
      </c>
      <c r="X68" s="139">
        <v>0.6</v>
      </c>
      <c r="Y68" s="139">
        <f t="shared" si="7"/>
        <v>0.61643835616438358</v>
      </c>
      <c r="Z68" s="139">
        <v>1</v>
      </c>
      <c r="AA68" s="139">
        <v>1</v>
      </c>
      <c r="AB68" s="83">
        <f t="shared" si="8"/>
        <v>2700</v>
      </c>
      <c r="AC68" s="83">
        <f t="shared" si="9"/>
        <v>2700</v>
      </c>
      <c r="AD68" s="83">
        <f t="shared" si="10"/>
        <v>985.60799999999995</v>
      </c>
      <c r="AE68" s="83">
        <f t="shared" si="11"/>
        <v>985.60799999999995</v>
      </c>
      <c r="AF68" s="85"/>
      <c r="AG68" s="53"/>
      <c r="AH68" s="53"/>
      <c r="AI68" s="53"/>
      <c r="AJ68" s="53"/>
      <c r="AK68" s="53"/>
      <c r="AL68" s="53"/>
      <c r="AM68" s="111">
        <f t="shared" si="12"/>
        <v>985.60799999999995</v>
      </c>
      <c r="AN68" s="111">
        <f t="shared" si="13"/>
        <v>985.60799999999995</v>
      </c>
    </row>
    <row r="69" spans="1:40" s="29" customFormat="1" ht="15.75" x14ac:dyDescent="0.25">
      <c r="A69" s="53">
        <v>59</v>
      </c>
      <c r="B69" s="53"/>
      <c r="C69" s="53"/>
      <c r="D69" s="53" t="s">
        <v>135</v>
      </c>
      <c r="E69" s="53"/>
      <c r="F69" s="53"/>
      <c r="G69" s="53" t="s">
        <v>290</v>
      </c>
      <c r="H69" s="53" t="s">
        <v>291</v>
      </c>
      <c r="I69" s="85" t="s">
        <v>362</v>
      </c>
      <c r="J69" s="85" t="s">
        <v>363</v>
      </c>
      <c r="K69" s="85" t="s">
        <v>989</v>
      </c>
      <c r="L69" s="53" t="s">
        <v>404</v>
      </c>
      <c r="M69" s="53" t="s">
        <v>990</v>
      </c>
      <c r="N69" s="53"/>
      <c r="O69" s="85" t="s">
        <v>991</v>
      </c>
      <c r="P69" s="53">
        <v>1</v>
      </c>
      <c r="Q69" s="83">
        <v>486720</v>
      </c>
      <c r="R69" s="84">
        <v>0.8</v>
      </c>
      <c r="S69" s="53"/>
      <c r="T69" s="53"/>
      <c r="U69" s="137" t="s">
        <v>124</v>
      </c>
      <c r="V69" s="138" t="s">
        <v>118</v>
      </c>
      <c r="W69" s="83">
        <v>8760</v>
      </c>
      <c r="X69" s="139">
        <v>0.6</v>
      </c>
      <c r="Y69" s="139">
        <f t="shared" si="7"/>
        <v>0.61643835616438358</v>
      </c>
      <c r="Z69" s="139">
        <v>1</v>
      </c>
      <c r="AA69" s="139">
        <v>1</v>
      </c>
      <c r="AB69" s="83">
        <f t="shared" si="8"/>
        <v>2700</v>
      </c>
      <c r="AC69" s="83">
        <f t="shared" si="9"/>
        <v>2700</v>
      </c>
      <c r="AD69" s="83">
        <f t="shared" si="10"/>
        <v>985.60799999999995</v>
      </c>
      <c r="AE69" s="83">
        <f t="shared" si="11"/>
        <v>985.60799999999995</v>
      </c>
      <c r="AF69" s="85"/>
      <c r="AG69" s="53"/>
      <c r="AH69" s="53"/>
      <c r="AI69" s="53"/>
      <c r="AJ69" s="53"/>
      <c r="AK69" s="53"/>
      <c r="AL69" s="53"/>
      <c r="AM69" s="111">
        <f t="shared" si="12"/>
        <v>985.60799999999995</v>
      </c>
      <c r="AN69" s="111">
        <f t="shared" si="13"/>
        <v>985.60799999999995</v>
      </c>
    </row>
    <row r="70" spans="1:40" s="29" customFormat="1" ht="15.75" x14ac:dyDescent="0.25">
      <c r="A70" s="53">
        <v>60</v>
      </c>
      <c r="B70" s="53"/>
      <c r="C70" s="53"/>
      <c r="D70" s="53" t="s">
        <v>135</v>
      </c>
      <c r="E70" s="53"/>
      <c r="F70" s="53"/>
      <c r="G70" s="53" t="s">
        <v>290</v>
      </c>
      <c r="H70" s="53" t="s">
        <v>291</v>
      </c>
      <c r="I70" s="85" t="s">
        <v>307</v>
      </c>
      <c r="J70" s="85" t="s">
        <v>308</v>
      </c>
      <c r="K70" s="85" t="s">
        <v>989</v>
      </c>
      <c r="L70" s="53" t="s">
        <v>404</v>
      </c>
      <c r="M70" s="53" t="s">
        <v>990</v>
      </c>
      <c r="N70" s="53"/>
      <c r="O70" s="85" t="s">
        <v>991</v>
      </c>
      <c r="P70" s="53">
        <v>1</v>
      </c>
      <c r="Q70" s="83">
        <v>730080</v>
      </c>
      <c r="R70" s="84">
        <v>0.8</v>
      </c>
      <c r="S70" s="53"/>
      <c r="T70" s="53"/>
      <c r="U70" s="137" t="s">
        <v>124</v>
      </c>
      <c r="V70" s="138" t="s">
        <v>118</v>
      </c>
      <c r="W70" s="83">
        <v>8760</v>
      </c>
      <c r="X70" s="139">
        <v>0.6</v>
      </c>
      <c r="Y70" s="139">
        <f t="shared" si="7"/>
        <v>0.61643835616438358</v>
      </c>
      <c r="Z70" s="139">
        <v>1</v>
      </c>
      <c r="AA70" s="139">
        <v>1</v>
      </c>
      <c r="AB70" s="83">
        <f t="shared" si="8"/>
        <v>2700</v>
      </c>
      <c r="AC70" s="83">
        <f t="shared" si="9"/>
        <v>2700</v>
      </c>
      <c r="AD70" s="83">
        <f t="shared" si="10"/>
        <v>1478.412</v>
      </c>
      <c r="AE70" s="83">
        <f t="shared" si="11"/>
        <v>1478.412</v>
      </c>
      <c r="AF70" s="85"/>
      <c r="AG70" s="53"/>
      <c r="AH70" s="53"/>
      <c r="AI70" s="53"/>
      <c r="AJ70" s="53"/>
      <c r="AK70" s="53"/>
      <c r="AL70" s="53"/>
      <c r="AM70" s="111">
        <f t="shared" si="12"/>
        <v>1478.412</v>
      </c>
      <c r="AN70" s="111">
        <f t="shared" si="13"/>
        <v>1478.412</v>
      </c>
    </row>
    <row r="71" spans="1:40" s="29" customFormat="1" ht="15.75" x14ac:dyDescent="0.25">
      <c r="A71" s="53">
        <v>61</v>
      </c>
      <c r="B71" s="53"/>
      <c r="C71" s="53"/>
      <c r="D71" s="53" t="s">
        <v>135</v>
      </c>
      <c r="E71" s="53"/>
      <c r="F71" s="53"/>
      <c r="G71" s="53" t="s">
        <v>290</v>
      </c>
      <c r="H71" s="53" t="s">
        <v>291</v>
      </c>
      <c r="I71" s="85" t="s">
        <v>307</v>
      </c>
      <c r="J71" s="85" t="s">
        <v>308</v>
      </c>
      <c r="K71" s="85" t="s">
        <v>989</v>
      </c>
      <c r="L71" s="53" t="s">
        <v>404</v>
      </c>
      <c r="M71" s="53" t="s">
        <v>990</v>
      </c>
      <c r="N71" s="53"/>
      <c r="O71" s="85" t="s">
        <v>991</v>
      </c>
      <c r="P71" s="53">
        <v>1</v>
      </c>
      <c r="Q71" s="83">
        <v>730080</v>
      </c>
      <c r="R71" s="84">
        <v>0.8</v>
      </c>
      <c r="S71" s="53"/>
      <c r="T71" s="53"/>
      <c r="U71" s="137" t="s">
        <v>124</v>
      </c>
      <c r="V71" s="138" t="s">
        <v>118</v>
      </c>
      <c r="W71" s="83">
        <v>8760</v>
      </c>
      <c r="X71" s="139">
        <v>0.6</v>
      </c>
      <c r="Y71" s="139">
        <f t="shared" si="7"/>
        <v>0.61643835616438358</v>
      </c>
      <c r="Z71" s="139">
        <v>1</v>
      </c>
      <c r="AA71" s="139">
        <v>1</v>
      </c>
      <c r="AB71" s="83">
        <f t="shared" si="8"/>
        <v>2700</v>
      </c>
      <c r="AC71" s="83">
        <f t="shared" si="9"/>
        <v>2700</v>
      </c>
      <c r="AD71" s="83">
        <f t="shared" si="10"/>
        <v>1478.412</v>
      </c>
      <c r="AE71" s="83">
        <f t="shared" si="11"/>
        <v>1478.412</v>
      </c>
      <c r="AF71" s="85"/>
      <c r="AG71" s="53"/>
      <c r="AH71" s="53"/>
      <c r="AI71" s="53"/>
      <c r="AJ71" s="53"/>
      <c r="AK71" s="53"/>
      <c r="AL71" s="53"/>
      <c r="AM71" s="111">
        <f t="shared" si="12"/>
        <v>1478.412</v>
      </c>
      <c r="AN71" s="111">
        <f t="shared" si="13"/>
        <v>1478.412</v>
      </c>
    </row>
    <row r="72" spans="1:40" s="29" customFormat="1" ht="15.75" x14ac:dyDescent="0.25">
      <c r="A72" s="53">
        <v>62</v>
      </c>
      <c r="B72" s="53"/>
      <c r="C72" s="53"/>
      <c r="D72" s="53" t="s">
        <v>135</v>
      </c>
      <c r="E72" s="53"/>
      <c r="F72" s="53"/>
      <c r="G72" s="53" t="s">
        <v>290</v>
      </c>
      <c r="H72" s="53" t="s">
        <v>291</v>
      </c>
      <c r="I72" s="85" t="s">
        <v>578</v>
      </c>
      <c r="J72" s="85" t="s">
        <v>934</v>
      </c>
      <c r="K72" s="85" t="s">
        <v>989</v>
      </c>
      <c r="L72" s="53" t="s">
        <v>404</v>
      </c>
      <c r="M72" s="53" t="s">
        <v>990</v>
      </c>
      <c r="N72" s="53"/>
      <c r="O72" s="85" t="s">
        <v>991</v>
      </c>
      <c r="P72" s="53">
        <v>1</v>
      </c>
      <c r="Q72" s="83">
        <v>145120</v>
      </c>
      <c r="R72" s="84">
        <v>0.8</v>
      </c>
      <c r="S72" s="53"/>
      <c r="T72" s="53"/>
      <c r="U72" s="137" t="s">
        <v>124</v>
      </c>
      <c r="V72" s="138" t="s">
        <v>118</v>
      </c>
      <c r="W72" s="83">
        <v>8760</v>
      </c>
      <c r="X72" s="139">
        <v>0.6</v>
      </c>
      <c r="Y72" s="139">
        <f t="shared" si="7"/>
        <v>0.61643835616438358</v>
      </c>
      <c r="Z72" s="139">
        <v>1</v>
      </c>
      <c r="AA72" s="139">
        <v>1</v>
      </c>
      <c r="AB72" s="83">
        <f t="shared" si="8"/>
        <v>2700</v>
      </c>
      <c r="AC72" s="83">
        <f t="shared" si="9"/>
        <v>2700</v>
      </c>
      <c r="AD72" s="83">
        <f t="shared" si="10"/>
        <v>293.86799999999999</v>
      </c>
      <c r="AE72" s="83">
        <f t="shared" si="11"/>
        <v>293.86799999999999</v>
      </c>
      <c r="AF72" s="85"/>
      <c r="AG72" s="53"/>
      <c r="AH72" s="53"/>
      <c r="AI72" s="53"/>
      <c r="AJ72" s="53"/>
      <c r="AK72" s="53"/>
      <c r="AL72" s="53"/>
      <c r="AM72" s="111">
        <f t="shared" si="12"/>
        <v>293.86799999999999</v>
      </c>
      <c r="AN72" s="111">
        <f t="shared" si="13"/>
        <v>293.86799999999999</v>
      </c>
    </row>
    <row r="73" spans="1:40" s="29" customFormat="1" ht="15.75" x14ac:dyDescent="0.25">
      <c r="A73" s="53">
        <v>63</v>
      </c>
      <c r="B73" s="53"/>
      <c r="C73" s="53"/>
      <c r="D73" s="53" t="s">
        <v>135</v>
      </c>
      <c r="E73" s="53"/>
      <c r="F73" s="53"/>
      <c r="G73" s="53" t="s">
        <v>211</v>
      </c>
      <c r="H73" s="53" t="s">
        <v>220</v>
      </c>
      <c r="I73" s="85" t="s">
        <v>257</v>
      </c>
      <c r="J73" s="85"/>
      <c r="K73" s="85" t="s">
        <v>1005</v>
      </c>
      <c r="L73" s="53" t="s">
        <v>1004</v>
      </c>
      <c r="M73" s="53" t="s">
        <v>990</v>
      </c>
      <c r="N73" s="53"/>
      <c r="O73" s="85" t="s">
        <v>1006</v>
      </c>
      <c r="P73" s="53">
        <v>1</v>
      </c>
      <c r="Q73" s="83">
        <v>52000</v>
      </c>
      <c r="R73" s="84">
        <v>0.48</v>
      </c>
      <c r="S73" s="53"/>
      <c r="T73" s="53"/>
      <c r="U73" s="137" t="s">
        <v>117</v>
      </c>
      <c r="V73" s="138" t="s">
        <v>111</v>
      </c>
      <c r="W73" s="83">
        <v>8760</v>
      </c>
      <c r="X73" s="139">
        <v>1</v>
      </c>
      <c r="Y73" s="139">
        <v>1</v>
      </c>
      <c r="Z73" s="139">
        <v>1</v>
      </c>
      <c r="AA73" s="179">
        <v>0</v>
      </c>
      <c r="AB73" s="83">
        <f t="shared" si="8"/>
        <v>4380</v>
      </c>
      <c r="AC73" s="83">
        <f t="shared" si="9"/>
        <v>4380</v>
      </c>
      <c r="AD73" s="83">
        <f t="shared" si="10"/>
        <v>474.5</v>
      </c>
      <c r="AE73" s="83">
        <f t="shared" si="11"/>
        <v>0</v>
      </c>
      <c r="AF73" s="85"/>
      <c r="AG73" s="53"/>
      <c r="AH73" s="53"/>
      <c r="AI73" s="53"/>
      <c r="AJ73" s="53"/>
      <c r="AK73" s="53"/>
      <c r="AL73" s="53"/>
      <c r="AM73" s="111">
        <f t="shared" si="12"/>
        <v>474.5</v>
      </c>
      <c r="AN73" s="111">
        <f t="shared" si="13"/>
        <v>0</v>
      </c>
    </row>
    <row r="74" spans="1:40" s="29" customFormat="1" ht="15.75" x14ac:dyDescent="0.25">
      <c r="A74" s="53">
        <v>64</v>
      </c>
      <c r="B74" s="53"/>
      <c r="C74" s="53"/>
      <c r="D74" s="53" t="s">
        <v>135</v>
      </c>
      <c r="E74" s="53"/>
      <c r="F74" s="53"/>
      <c r="G74" s="53" t="s">
        <v>211</v>
      </c>
      <c r="H74" s="53" t="s">
        <v>220</v>
      </c>
      <c r="I74" s="85"/>
      <c r="J74" s="85"/>
      <c r="K74" s="85" t="s">
        <v>1007</v>
      </c>
      <c r="L74" s="53" t="s">
        <v>1004</v>
      </c>
      <c r="M74" s="53" t="s">
        <v>990</v>
      </c>
      <c r="N74" s="53"/>
      <c r="O74" s="85" t="s">
        <v>1008</v>
      </c>
      <c r="P74" s="53">
        <v>1</v>
      </c>
      <c r="Q74" s="83">
        <v>26000</v>
      </c>
      <c r="R74" s="84">
        <v>0.48</v>
      </c>
      <c r="S74" s="53"/>
      <c r="T74" s="53"/>
      <c r="U74" s="137" t="s">
        <v>117</v>
      </c>
      <c r="V74" s="138" t="s">
        <v>111</v>
      </c>
      <c r="W74" s="83">
        <v>8760</v>
      </c>
      <c r="X74" s="139">
        <v>1</v>
      </c>
      <c r="Y74" s="139">
        <v>1</v>
      </c>
      <c r="Z74" s="139">
        <v>1</v>
      </c>
      <c r="AA74" s="179">
        <v>0</v>
      </c>
      <c r="AB74" s="83">
        <f t="shared" si="8"/>
        <v>4380</v>
      </c>
      <c r="AC74" s="83">
        <f t="shared" si="9"/>
        <v>4380</v>
      </c>
      <c r="AD74" s="83">
        <f t="shared" si="10"/>
        <v>237.25</v>
      </c>
      <c r="AE74" s="83">
        <f t="shared" si="11"/>
        <v>0</v>
      </c>
      <c r="AF74" s="85"/>
      <c r="AG74" s="53"/>
      <c r="AH74" s="53"/>
      <c r="AI74" s="53"/>
      <c r="AJ74" s="53"/>
      <c r="AK74" s="53"/>
      <c r="AL74" s="53"/>
      <c r="AM74" s="111">
        <f t="shared" si="12"/>
        <v>237.25</v>
      </c>
      <c r="AN74" s="111">
        <f t="shared" si="13"/>
        <v>0</v>
      </c>
    </row>
    <row r="75" spans="1:40" s="29" customFormat="1" ht="15.75" x14ac:dyDescent="0.25">
      <c r="A75" s="53">
        <v>65</v>
      </c>
      <c r="B75" s="53"/>
      <c r="C75" s="53"/>
      <c r="D75" s="53" t="s">
        <v>135</v>
      </c>
      <c r="E75" s="53"/>
      <c r="F75" s="53"/>
      <c r="G75" s="53" t="s">
        <v>211</v>
      </c>
      <c r="H75" s="53" t="s">
        <v>220</v>
      </c>
      <c r="I75" s="85"/>
      <c r="J75" s="85"/>
      <c r="K75" s="85" t="s">
        <v>945</v>
      </c>
      <c r="L75" s="53" t="s">
        <v>1004</v>
      </c>
      <c r="M75" s="53" t="s">
        <v>990</v>
      </c>
      <c r="N75" s="53"/>
      <c r="O75" s="85" t="s">
        <v>1009</v>
      </c>
      <c r="P75" s="53">
        <v>4</v>
      </c>
      <c r="Q75" s="83">
        <v>100000</v>
      </c>
      <c r="R75" s="84">
        <v>0.8</v>
      </c>
      <c r="S75" s="53"/>
      <c r="T75" s="53"/>
      <c r="U75" s="137" t="s">
        <v>117</v>
      </c>
      <c r="V75" s="138" t="s">
        <v>111</v>
      </c>
      <c r="W75" s="83">
        <v>8760</v>
      </c>
      <c r="X75" s="139">
        <v>1</v>
      </c>
      <c r="Y75" s="139">
        <v>1</v>
      </c>
      <c r="Z75" s="139">
        <v>1</v>
      </c>
      <c r="AA75" s="179">
        <v>0</v>
      </c>
      <c r="AB75" s="83">
        <f t="shared" ref="AB75:AB80" si="14">$W75*Y75*$S$3</f>
        <v>4380</v>
      </c>
      <c r="AC75" s="83">
        <f t="shared" ref="AC75:AC80" si="15">$W75*Y75*$S$4</f>
        <v>4380</v>
      </c>
      <c r="AD75" s="83">
        <f t="shared" ref="AD75:AD80" si="16">((($P75*$Q75*$Z75*$AB75)/$R75)/1000000)*$X75</f>
        <v>2190</v>
      </c>
      <c r="AE75" s="83">
        <f t="shared" ref="AE75:AE80" si="17">((($P75*$Q75*$AA75*$AC75)/$R75)/1000000)*$X75</f>
        <v>0</v>
      </c>
      <c r="AF75" s="85"/>
      <c r="AG75" s="53"/>
      <c r="AH75" s="53"/>
      <c r="AI75" s="53"/>
      <c r="AJ75" s="53"/>
      <c r="AK75" s="53"/>
      <c r="AL75" s="53"/>
      <c r="AM75" s="111">
        <f t="shared" si="12"/>
        <v>2190</v>
      </c>
      <c r="AN75" s="111">
        <f t="shared" si="13"/>
        <v>0</v>
      </c>
    </row>
    <row r="76" spans="1:40" s="29" customFormat="1" ht="30" x14ac:dyDescent="0.25">
      <c r="A76" s="53">
        <v>66</v>
      </c>
      <c r="B76" s="53"/>
      <c r="C76" s="53"/>
      <c r="D76" s="298" t="s">
        <v>135</v>
      </c>
      <c r="E76" s="298"/>
      <c r="F76" s="298"/>
      <c r="G76" s="298" t="s">
        <v>211</v>
      </c>
      <c r="H76" s="298" t="s">
        <v>586</v>
      </c>
      <c r="I76" s="299" t="s">
        <v>870</v>
      </c>
      <c r="J76" s="299" t="s">
        <v>870</v>
      </c>
      <c r="K76" s="299" t="s">
        <v>871</v>
      </c>
      <c r="L76" s="298" t="s">
        <v>963</v>
      </c>
      <c r="M76" s="298" t="s">
        <v>990</v>
      </c>
      <c r="N76" s="298"/>
      <c r="O76" s="307" t="s">
        <v>1010</v>
      </c>
      <c r="P76" s="298">
        <v>1</v>
      </c>
      <c r="Q76" s="302">
        <v>1020000</v>
      </c>
      <c r="R76" s="308">
        <f>846600/1020000</f>
        <v>0.83</v>
      </c>
      <c r="S76" s="53"/>
      <c r="T76" s="53"/>
      <c r="U76" s="137" t="s">
        <v>129</v>
      </c>
      <c r="V76" s="138" t="s">
        <v>111</v>
      </c>
      <c r="W76" s="83">
        <v>8760</v>
      </c>
      <c r="X76" s="139">
        <v>1</v>
      </c>
      <c r="Y76" s="179">
        <v>0.6</v>
      </c>
      <c r="Z76" s="139">
        <v>1</v>
      </c>
      <c r="AA76" s="179">
        <v>0</v>
      </c>
      <c r="AB76" s="83">
        <f t="shared" si="14"/>
        <v>2628</v>
      </c>
      <c r="AC76" s="83">
        <f t="shared" si="15"/>
        <v>2628</v>
      </c>
      <c r="AD76" s="83">
        <f t="shared" si="16"/>
        <v>3229.5903614457829</v>
      </c>
      <c r="AE76" s="83">
        <f t="shared" si="17"/>
        <v>0</v>
      </c>
      <c r="AF76" s="85"/>
      <c r="AG76" s="53"/>
      <c r="AH76" s="53"/>
      <c r="AI76" s="53"/>
      <c r="AJ76" s="53"/>
      <c r="AK76" s="53"/>
      <c r="AL76" s="53"/>
      <c r="AM76" s="111">
        <f t="shared" si="12"/>
        <v>3229.5903614457829</v>
      </c>
      <c r="AN76" s="111">
        <f t="shared" si="13"/>
        <v>0</v>
      </c>
    </row>
    <row r="77" spans="1:40" s="29" customFormat="1" ht="30" x14ac:dyDescent="0.25">
      <c r="A77" s="53">
        <v>67</v>
      </c>
      <c r="B77" s="53"/>
      <c r="C77" s="53"/>
      <c r="D77" s="53" t="s">
        <v>135</v>
      </c>
      <c r="E77" s="53"/>
      <c r="F77" s="53"/>
      <c r="G77" s="53" t="s">
        <v>211</v>
      </c>
      <c r="H77" s="53" t="s">
        <v>586</v>
      </c>
      <c r="I77" s="85"/>
      <c r="J77" s="85" t="s">
        <v>590</v>
      </c>
      <c r="K77" s="85" t="s">
        <v>591</v>
      </c>
      <c r="L77" s="53" t="s">
        <v>586</v>
      </c>
      <c r="M77" s="53" t="s">
        <v>990</v>
      </c>
      <c r="N77" s="53"/>
      <c r="O77" s="181" t="s">
        <v>1011</v>
      </c>
      <c r="P77" s="53">
        <v>1</v>
      </c>
      <c r="Q77" s="83">
        <v>8370000</v>
      </c>
      <c r="R77" s="84">
        <v>0.8</v>
      </c>
      <c r="S77" s="53"/>
      <c r="T77" s="53"/>
      <c r="U77" s="137" t="s">
        <v>129</v>
      </c>
      <c r="V77" s="138" t="s">
        <v>111</v>
      </c>
      <c r="W77" s="83">
        <v>8760</v>
      </c>
      <c r="X77" s="139">
        <v>1</v>
      </c>
      <c r="Y77" s="179">
        <v>0.6</v>
      </c>
      <c r="Z77" s="139">
        <v>1</v>
      </c>
      <c r="AA77" s="179">
        <v>0.5</v>
      </c>
      <c r="AB77" s="83">
        <f t="shared" si="14"/>
        <v>2628</v>
      </c>
      <c r="AC77" s="83">
        <f t="shared" si="15"/>
        <v>2628</v>
      </c>
      <c r="AD77" s="83">
        <f t="shared" si="16"/>
        <v>27495.45</v>
      </c>
      <c r="AE77" s="83">
        <f t="shared" si="17"/>
        <v>13747.725</v>
      </c>
      <c r="AF77" s="85"/>
      <c r="AG77" s="53"/>
      <c r="AH77" s="53"/>
      <c r="AI77" s="53"/>
      <c r="AJ77" s="53"/>
      <c r="AK77" s="53"/>
      <c r="AL77" s="53"/>
      <c r="AM77" s="111">
        <f t="shared" si="12"/>
        <v>27495.45</v>
      </c>
      <c r="AN77" s="111">
        <f t="shared" si="13"/>
        <v>13747.725</v>
      </c>
    </row>
    <row r="78" spans="1:40" s="29" customFormat="1" ht="30" x14ac:dyDescent="0.25">
      <c r="A78" s="53">
        <v>68</v>
      </c>
      <c r="B78" s="53"/>
      <c r="C78" s="53"/>
      <c r="D78" s="53" t="s">
        <v>135</v>
      </c>
      <c r="E78" s="53"/>
      <c r="F78" s="53"/>
      <c r="G78" s="53" t="s">
        <v>211</v>
      </c>
      <c r="H78" s="53" t="s">
        <v>586</v>
      </c>
      <c r="I78" s="85"/>
      <c r="J78" s="85" t="s">
        <v>711</v>
      </c>
      <c r="K78" s="85" t="s">
        <v>712</v>
      </c>
      <c r="L78" s="53" t="s">
        <v>586</v>
      </c>
      <c r="M78" s="53" t="s">
        <v>990</v>
      </c>
      <c r="N78" s="53"/>
      <c r="O78" s="181" t="s">
        <v>1012</v>
      </c>
      <c r="P78" s="53">
        <v>1</v>
      </c>
      <c r="Q78" s="83">
        <v>5140000</v>
      </c>
      <c r="R78" s="84">
        <v>0.8</v>
      </c>
      <c r="S78" s="53"/>
      <c r="T78" s="53"/>
      <c r="U78" s="137" t="s">
        <v>129</v>
      </c>
      <c r="V78" s="138" t="s">
        <v>111</v>
      </c>
      <c r="W78" s="83">
        <v>8760</v>
      </c>
      <c r="X78" s="139">
        <v>1</v>
      </c>
      <c r="Y78" s="179">
        <v>0.6</v>
      </c>
      <c r="Z78" s="139">
        <v>1</v>
      </c>
      <c r="AA78" s="179">
        <v>0.5</v>
      </c>
      <c r="AB78" s="83">
        <f t="shared" si="14"/>
        <v>2628</v>
      </c>
      <c r="AC78" s="83">
        <f t="shared" si="15"/>
        <v>2628</v>
      </c>
      <c r="AD78" s="83">
        <f t="shared" si="16"/>
        <v>16884.900000000001</v>
      </c>
      <c r="AE78" s="83">
        <f t="shared" si="17"/>
        <v>8442.4500000000007</v>
      </c>
      <c r="AF78" s="85"/>
      <c r="AG78" s="53"/>
      <c r="AH78" s="53"/>
      <c r="AI78" s="53"/>
      <c r="AJ78" s="53"/>
      <c r="AK78" s="53"/>
      <c r="AL78" s="53"/>
      <c r="AM78" s="111">
        <f t="shared" si="12"/>
        <v>16884.900000000001</v>
      </c>
      <c r="AN78" s="111">
        <f t="shared" si="13"/>
        <v>8442.4500000000007</v>
      </c>
    </row>
    <row r="79" spans="1:40" s="29" customFormat="1" ht="30" x14ac:dyDescent="0.25">
      <c r="A79" s="53">
        <v>69</v>
      </c>
      <c r="B79" s="53"/>
      <c r="C79" s="53"/>
      <c r="D79" s="53" t="s">
        <v>135</v>
      </c>
      <c r="E79" s="53"/>
      <c r="F79" s="53"/>
      <c r="G79" s="53" t="s">
        <v>211</v>
      </c>
      <c r="H79" s="53" t="s">
        <v>586</v>
      </c>
      <c r="I79" s="85"/>
      <c r="J79" s="85" t="s">
        <v>587</v>
      </c>
      <c r="K79" s="85" t="s">
        <v>588</v>
      </c>
      <c r="L79" s="53" t="s">
        <v>586</v>
      </c>
      <c r="M79" s="53" t="s">
        <v>990</v>
      </c>
      <c r="N79" s="53"/>
      <c r="O79" s="181" t="s">
        <v>1013</v>
      </c>
      <c r="P79" s="53">
        <v>1</v>
      </c>
      <c r="Q79" s="83">
        <v>33600000</v>
      </c>
      <c r="R79" s="84">
        <v>0.75</v>
      </c>
      <c r="S79" s="53"/>
      <c r="T79" s="53"/>
      <c r="U79" s="137" t="s">
        <v>129</v>
      </c>
      <c r="V79" s="138" t="s">
        <v>111</v>
      </c>
      <c r="W79" s="83">
        <v>8760</v>
      </c>
      <c r="X79" s="139">
        <v>1</v>
      </c>
      <c r="Y79" s="179">
        <v>0.4</v>
      </c>
      <c r="Z79" s="179">
        <v>0.6</v>
      </c>
      <c r="AA79" s="179">
        <v>0</v>
      </c>
      <c r="AB79" s="83">
        <f t="shared" si="14"/>
        <v>1752</v>
      </c>
      <c r="AC79" s="83">
        <f t="shared" si="15"/>
        <v>1752</v>
      </c>
      <c r="AD79" s="83">
        <f t="shared" si="16"/>
        <v>47093.760000000002</v>
      </c>
      <c r="AE79" s="83">
        <f t="shared" si="17"/>
        <v>0</v>
      </c>
      <c r="AF79" s="85"/>
      <c r="AG79" s="53"/>
      <c r="AH79" s="53"/>
      <c r="AI79" s="53"/>
      <c r="AJ79" s="53"/>
      <c r="AK79" s="53"/>
      <c r="AL79" s="53"/>
      <c r="AM79" s="111">
        <f t="shared" si="12"/>
        <v>47093.760000000002</v>
      </c>
      <c r="AN79" s="111">
        <f t="shared" si="13"/>
        <v>0</v>
      </c>
    </row>
    <row r="80" spans="1:40" s="29" customFormat="1" ht="15.75" x14ac:dyDescent="0.25">
      <c r="A80" s="53">
        <v>70</v>
      </c>
      <c r="B80" s="53"/>
      <c r="C80" s="53"/>
      <c r="D80" s="53" t="s">
        <v>135</v>
      </c>
      <c r="E80" s="53"/>
      <c r="F80" s="53"/>
      <c r="G80" s="53" t="s">
        <v>211</v>
      </c>
      <c r="H80" s="53" t="s">
        <v>220</v>
      </c>
      <c r="I80" s="85" t="s">
        <v>257</v>
      </c>
      <c r="J80" s="85" t="s">
        <v>257</v>
      </c>
      <c r="K80" s="85" t="s">
        <v>1014</v>
      </c>
      <c r="L80" s="53" t="s">
        <v>1004</v>
      </c>
      <c r="M80" s="53" t="s">
        <v>990</v>
      </c>
      <c r="N80" s="53"/>
      <c r="O80" s="85" t="s">
        <v>1015</v>
      </c>
      <c r="P80" s="53">
        <v>32</v>
      </c>
      <c r="Q80" s="83">
        <v>80000</v>
      </c>
      <c r="R80" s="84">
        <v>0.8</v>
      </c>
      <c r="S80" s="53"/>
      <c r="T80" s="53"/>
      <c r="U80" s="137" t="s">
        <v>117</v>
      </c>
      <c r="V80" s="138" t="s">
        <v>111</v>
      </c>
      <c r="W80" s="83">
        <v>8760</v>
      </c>
      <c r="X80" s="139">
        <v>0.6</v>
      </c>
      <c r="Y80" s="139">
        <v>0.6</v>
      </c>
      <c r="Z80" s="139">
        <v>1</v>
      </c>
      <c r="AA80" s="139">
        <v>0</v>
      </c>
      <c r="AB80" s="83">
        <f t="shared" si="14"/>
        <v>2628</v>
      </c>
      <c r="AC80" s="83">
        <f t="shared" si="15"/>
        <v>2628</v>
      </c>
      <c r="AD80" s="83">
        <f t="shared" si="16"/>
        <v>5045.76</v>
      </c>
      <c r="AE80" s="83">
        <f t="shared" si="17"/>
        <v>0</v>
      </c>
      <c r="AF80" s="85"/>
      <c r="AG80" s="53"/>
      <c r="AH80" s="53"/>
      <c r="AI80" s="53"/>
      <c r="AJ80" s="53"/>
      <c r="AK80" s="53"/>
      <c r="AL80" s="53"/>
      <c r="AM80" s="111"/>
      <c r="AN80" s="111"/>
    </row>
    <row r="81" spans="1:51" s="29" customFormat="1" ht="15.75" x14ac:dyDescent="0.25">
      <c r="A81" s="53">
        <v>71</v>
      </c>
      <c r="B81" s="53"/>
      <c r="C81" s="53"/>
      <c r="D81" s="53" t="s">
        <v>135</v>
      </c>
      <c r="E81" s="53"/>
      <c r="F81" s="53"/>
      <c r="G81" s="53" t="s">
        <v>226</v>
      </c>
      <c r="H81" s="53" t="s">
        <v>1016</v>
      </c>
      <c r="I81" s="85" t="s">
        <v>228</v>
      </c>
      <c r="J81" s="85" t="s">
        <v>228</v>
      </c>
      <c r="K81" s="85" t="s">
        <v>229</v>
      </c>
      <c r="L81" s="53" t="s">
        <v>969</v>
      </c>
      <c r="M81" s="53" t="s">
        <v>1016</v>
      </c>
      <c r="N81" s="53"/>
      <c r="O81" s="85" t="s">
        <v>1017</v>
      </c>
      <c r="P81" s="53">
        <v>85</v>
      </c>
      <c r="Q81" s="83"/>
      <c r="R81" s="84"/>
      <c r="S81" s="53"/>
      <c r="T81" s="53"/>
      <c r="U81" s="137" t="s">
        <v>117</v>
      </c>
      <c r="V81" s="138" t="s">
        <v>118</v>
      </c>
      <c r="W81" s="83">
        <v>8760</v>
      </c>
      <c r="X81" s="139">
        <v>1</v>
      </c>
      <c r="Y81" s="139">
        <f t="shared" ref="Y81:Y94" si="18">$T$7</f>
        <v>0.61643835616438358</v>
      </c>
      <c r="Z81" s="139">
        <v>1</v>
      </c>
      <c r="AA81" s="139">
        <v>1</v>
      </c>
      <c r="AB81" s="83"/>
      <c r="AC81" s="83"/>
      <c r="AD81" s="199">
        <f>S3*7769</f>
        <v>3884.5</v>
      </c>
      <c r="AE81" s="199">
        <f>S3*7769</f>
        <v>3884.5</v>
      </c>
      <c r="AF81" s="85"/>
      <c r="AG81" s="53"/>
      <c r="AH81" s="53"/>
      <c r="AI81" s="53"/>
      <c r="AJ81" s="53"/>
      <c r="AK81" s="53"/>
      <c r="AL81" s="53"/>
      <c r="AM81" s="111">
        <f>AD81</f>
        <v>3884.5</v>
      </c>
      <c r="AN81" s="111">
        <f>AE81</f>
        <v>3884.5</v>
      </c>
    </row>
    <row r="82" spans="1:51" s="29" customFormat="1" ht="15.75" x14ac:dyDescent="0.25">
      <c r="A82" s="53">
        <v>72</v>
      </c>
      <c r="B82" s="53"/>
      <c r="C82" s="53"/>
      <c r="D82" s="53" t="s">
        <v>135</v>
      </c>
      <c r="E82" s="53"/>
      <c r="F82" s="53"/>
      <c r="G82" s="53" t="s">
        <v>226</v>
      </c>
      <c r="H82" s="53" t="s">
        <v>1018</v>
      </c>
      <c r="I82" s="85" t="s">
        <v>1019</v>
      </c>
      <c r="J82" s="85" t="s">
        <v>1019</v>
      </c>
      <c r="K82" s="85" t="s">
        <v>229</v>
      </c>
      <c r="L82" s="53" t="s">
        <v>969</v>
      </c>
      <c r="M82" s="53" t="s">
        <v>1018</v>
      </c>
      <c r="N82" s="53"/>
      <c r="O82" s="85" t="s">
        <v>1020</v>
      </c>
      <c r="P82" s="53">
        <v>5</v>
      </c>
      <c r="Q82" s="83"/>
      <c r="R82" s="84"/>
      <c r="S82" s="53"/>
      <c r="T82" s="53"/>
      <c r="U82" s="137" t="s">
        <v>117</v>
      </c>
      <c r="V82" s="138" t="s">
        <v>118</v>
      </c>
      <c r="W82" s="83">
        <v>8760</v>
      </c>
      <c r="X82" s="139">
        <v>1</v>
      </c>
      <c r="Y82" s="139">
        <f t="shared" si="18"/>
        <v>0.61643835616438358</v>
      </c>
      <c r="Z82" s="139">
        <v>1</v>
      </c>
      <c r="AA82" s="139">
        <v>1</v>
      </c>
      <c r="AB82" s="83"/>
      <c r="AC82" s="83"/>
      <c r="AD82" s="199">
        <f>193*S3</f>
        <v>96.5</v>
      </c>
      <c r="AE82" s="199">
        <f>193*S3</f>
        <v>96.5</v>
      </c>
      <c r="AF82" s="85"/>
      <c r="AG82" s="53"/>
      <c r="AH82" s="53"/>
      <c r="AI82" s="53"/>
      <c r="AJ82" s="53"/>
      <c r="AK82" s="53"/>
      <c r="AL82" s="53"/>
      <c r="AM82" s="111">
        <f>AD82</f>
        <v>96.5</v>
      </c>
      <c r="AN82" s="111">
        <f>AE82</f>
        <v>96.5</v>
      </c>
    </row>
    <row r="83" spans="1:51" s="29" customFormat="1" ht="15.75" x14ac:dyDescent="0.25">
      <c r="A83" s="53">
        <v>73</v>
      </c>
      <c r="B83" s="53"/>
      <c r="C83" s="53"/>
      <c r="D83" s="53" t="s">
        <v>135</v>
      </c>
      <c r="E83" s="53"/>
      <c r="F83" s="53"/>
      <c r="G83" s="53"/>
      <c r="H83" s="53"/>
      <c r="I83" s="85"/>
      <c r="J83" s="85"/>
      <c r="K83" s="85"/>
      <c r="L83" s="53"/>
      <c r="M83" s="53"/>
      <c r="N83" s="53"/>
      <c r="O83" s="85"/>
      <c r="P83" s="53"/>
      <c r="Q83" s="83"/>
      <c r="R83" s="84"/>
      <c r="S83" s="53"/>
      <c r="T83" s="53"/>
      <c r="U83" s="137"/>
      <c r="V83" s="138"/>
      <c r="W83" s="83">
        <v>8760</v>
      </c>
      <c r="X83" s="139"/>
      <c r="Y83" s="139">
        <f t="shared" si="18"/>
        <v>0.61643835616438358</v>
      </c>
      <c r="Z83" s="139">
        <v>1</v>
      </c>
      <c r="AA83" s="139">
        <v>1</v>
      </c>
      <c r="AB83" s="83"/>
      <c r="AC83" s="83"/>
      <c r="AD83" s="83"/>
      <c r="AE83" s="83"/>
      <c r="AF83" s="85"/>
      <c r="AG83" s="53"/>
      <c r="AH83" s="53"/>
      <c r="AI83" s="53"/>
      <c r="AJ83" s="53"/>
      <c r="AK83" s="53"/>
      <c r="AL83" s="53"/>
      <c r="AM83" s="111"/>
      <c r="AN83" s="111"/>
    </row>
    <row r="84" spans="1:51" s="29" customFormat="1" ht="15.75" x14ac:dyDescent="0.25">
      <c r="A84" s="53">
        <v>74</v>
      </c>
      <c r="B84" s="53"/>
      <c r="C84" s="53"/>
      <c r="D84" s="53" t="s">
        <v>135</v>
      </c>
      <c r="E84" s="53"/>
      <c r="F84" s="53"/>
      <c r="G84" s="53"/>
      <c r="H84" s="53"/>
      <c r="I84" s="85"/>
      <c r="J84" s="85"/>
      <c r="K84" s="85"/>
      <c r="L84" s="53"/>
      <c r="M84" s="53"/>
      <c r="N84" s="53"/>
      <c r="O84" s="85"/>
      <c r="P84" s="53"/>
      <c r="Q84" s="83"/>
      <c r="R84" s="84"/>
      <c r="S84" s="53"/>
      <c r="T84" s="53"/>
      <c r="U84" s="137"/>
      <c r="V84" s="138"/>
      <c r="W84" s="83">
        <v>8760</v>
      </c>
      <c r="X84" s="139"/>
      <c r="Y84" s="139">
        <f t="shared" si="18"/>
        <v>0.61643835616438358</v>
      </c>
      <c r="Z84" s="139">
        <v>1</v>
      </c>
      <c r="AA84" s="139">
        <v>1</v>
      </c>
      <c r="AB84" s="83"/>
      <c r="AC84" s="83"/>
      <c r="AD84" s="83"/>
      <c r="AE84" s="83"/>
      <c r="AF84" s="85"/>
      <c r="AG84" s="53"/>
      <c r="AH84" s="53"/>
      <c r="AI84" s="53"/>
      <c r="AJ84" s="53"/>
      <c r="AK84" s="53"/>
      <c r="AL84" s="53"/>
      <c r="AM84" s="111"/>
      <c r="AN84" s="111"/>
    </row>
    <row r="85" spans="1:51" s="29" customFormat="1" ht="15.75" x14ac:dyDescent="0.25">
      <c r="A85" s="53">
        <v>75</v>
      </c>
      <c r="B85" s="53"/>
      <c r="C85" s="53"/>
      <c r="D85" s="53" t="s">
        <v>135</v>
      </c>
      <c r="E85" s="53"/>
      <c r="F85" s="53"/>
      <c r="G85" s="53"/>
      <c r="H85" s="53"/>
      <c r="I85" s="85"/>
      <c r="J85" s="85"/>
      <c r="K85" s="85"/>
      <c r="L85" s="53"/>
      <c r="M85" s="53"/>
      <c r="N85" s="53"/>
      <c r="O85" s="85"/>
      <c r="P85" s="53"/>
      <c r="Q85" s="83"/>
      <c r="R85" s="84"/>
      <c r="S85" s="53"/>
      <c r="T85" s="53"/>
      <c r="U85" s="137"/>
      <c r="V85" s="138"/>
      <c r="W85" s="83">
        <v>8760</v>
      </c>
      <c r="X85" s="139"/>
      <c r="Y85" s="139">
        <f t="shared" si="18"/>
        <v>0.61643835616438358</v>
      </c>
      <c r="Z85" s="139">
        <v>1</v>
      </c>
      <c r="AA85" s="139">
        <v>1</v>
      </c>
      <c r="AB85" s="83"/>
      <c r="AC85" s="83"/>
      <c r="AD85" s="83"/>
      <c r="AE85" s="83"/>
      <c r="AF85" s="85"/>
      <c r="AG85" s="53"/>
      <c r="AH85" s="53"/>
      <c r="AI85" s="53"/>
      <c r="AJ85" s="53"/>
      <c r="AK85" s="53"/>
      <c r="AL85" s="53"/>
      <c r="AM85" s="111"/>
      <c r="AN85" s="111"/>
    </row>
    <row r="86" spans="1:51" s="29" customFormat="1" ht="15.75" x14ac:dyDescent="0.25">
      <c r="A86" s="53">
        <v>76</v>
      </c>
      <c r="B86" s="53"/>
      <c r="C86" s="53"/>
      <c r="D86" s="53" t="s">
        <v>135</v>
      </c>
      <c r="E86" s="53"/>
      <c r="F86" s="53"/>
      <c r="G86" s="53"/>
      <c r="H86" s="53"/>
      <c r="I86" s="85"/>
      <c r="J86" s="85"/>
      <c r="K86" s="85"/>
      <c r="L86" s="53"/>
      <c r="M86" s="53"/>
      <c r="N86" s="53"/>
      <c r="O86" s="85"/>
      <c r="P86" s="53"/>
      <c r="Q86" s="83"/>
      <c r="R86" s="84"/>
      <c r="S86" s="53"/>
      <c r="T86" s="53"/>
      <c r="U86" s="137"/>
      <c r="V86" s="138"/>
      <c r="W86" s="83">
        <v>8760</v>
      </c>
      <c r="X86" s="139"/>
      <c r="Y86" s="139">
        <f t="shared" si="18"/>
        <v>0.61643835616438358</v>
      </c>
      <c r="Z86" s="139">
        <v>1</v>
      </c>
      <c r="AA86" s="139">
        <v>1</v>
      </c>
      <c r="AB86" s="83"/>
      <c r="AC86" s="83"/>
      <c r="AD86" s="83"/>
      <c r="AE86" s="83"/>
      <c r="AF86" s="85"/>
      <c r="AG86" s="53"/>
      <c r="AH86" s="53"/>
      <c r="AI86" s="53"/>
      <c r="AJ86" s="53"/>
      <c r="AK86" s="53"/>
      <c r="AL86" s="53"/>
      <c r="AM86" s="111"/>
      <c r="AN86" s="111"/>
    </row>
    <row r="87" spans="1:51" s="29" customFormat="1" ht="15.75" x14ac:dyDescent="0.25">
      <c r="A87" s="53">
        <v>77</v>
      </c>
      <c r="B87" s="53"/>
      <c r="C87" s="53"/>
      <c r="D87" s="53" t="s">
        <v>135</v>
      </c>
      <c r="E87" s="53"/>
      <c r="F87" s="53"/>
      <c r="G87" s="53"/>
      <c r="H87" s="53"/>
      <c r="I87" s="85"/>
      <c r="J87" s="85"/>
      <c r="K87" s="85"/>
      <c r="L87" s="53"/>
      <c r="M87" s="53"/>
      <c r="N87" s="53"/>
      <c r="O87" s="85"/>
      <c r="P87" s="53"/>
      <c r="Q87" s="83"/>
      <c r="R87" s="84"/>
      <c r="S87" s="53"/>
      <c r="T87" s="53"/>
      <c r="U87" s="137"/>
      <c r="V87" s="138"/>
      <c r="W87" s="83">
        <v>8760</v>
      </c>
      <c r="X87" s="139"/>
      <c r="Y87" s="139">
        <f t="shared" si="18"/>
        <v>0.61643835616438358</v>
      </c>
      <c r="Z87" s="139">
        <v>1</v>
      </c>
      <c r="AA87" s="139">
        <v>1</v>
      </c>
      <c r="AB87" s="83"/>
      <c r="AC87" s="83"/>
      <c r="AD87" s="83"/>
      <c r="AE87" s="83"/>
      <c r="AF87" s="85"/>
      <c r="AG87" s="53"/>
      <c r="AH87" s="53"/>
      <c r="AI87" s="53"/>
      <c r="AJ87" s="53"/>
      <c r="AK87" s="53"/>
      <c r="AL87" s="53"/>
      <c r="AM87" s="111"/>
      <c r="AN87" s="111"/>
    </row>
    <row r="88" spans="1:51" s="29" customFormat="1" ht="15.75" x14ac:dyDescent="0.25">
      <c r="A88" s="53">
        <v>78</v>
      </c>
      <c r="B88" s="53"/>
      <c r="C88" s="53"/>
      <c r="D88" s="53" t="s">
        <v>135</v>
      </c>
      <c r="E88" s="53"/>
      <c r="F88" s="53"/>
      <c r="G88" s="53"/>
      <c r="H88" s="53"/>
      <c r="I88" s="85"/>
      <c r="J88" s="85"/>
      <c r="K88" s="85"/>
      <c r="L88" s="53"/>
      <c r="M88" s="53"/>
      <c r="N88" s="53"/>
      <c r="O88" s="85"/>
      <c r="P88" s="53"/>
      <c r="Q88" s="83"/>
      <c r="R88" s="84"/>
      <c r="S88" s="53"/>
      <c r="T88" s="53"/>
      <c r="U88" s="137"/>
      <c r="V88" s="138"/>
      <c r="W88" s="83">
        <v>8760</v>
      </c>
      <c r="X88" s="139"/>
      <c r="Y88" s="139">
        <f t="shared" si="18"/>
        <v>0.61643835616438358</v>
      </c>
      <c r="Z88" s="139">
        <v>1</v>
      </c>
      <c r="AA88" s="139">
        <v>1</v>
      </c>
      <c r="AB88" s="83"/>
      <c r="AC88" s="83"/>
      <c r="AD88" s="83"/>
      <c r="AE88" s="83"/>
      <c r="AF88" s="85"/>
      <c r="AG88" s="53"/>
      <c r="AH88" s="53"/>
      <c r="AI88" s="53"/>
      <c r="AJ88" s="53"/>
      <c r="AK88" s="53"/>
      <c r="AL88" s="53"/>
      <c r="AM88" s="111"/>
      <c r="AN88" s="111"/>
    </row>
    <row r="89" spans="1:51" s="29" customFormat="1" ht="15.75" x14ac:dyDescent="0.25">
      <c r="A89" s="53">
        <v>79</v>
      </c>
      <c r="B89" s="53"/>
      <c r="C89" s="53"/>
      <c r="D89" s="53" t="s">
        <v>135</v>
      </c>
      <c r="E89" s="53"/>
      <c r="F89" s="53"/>
      <c r="G89" s="53"/>
      <c r="H89" s="53"/>
      <c r="I89" s="85"/>
      <c r="J89" s="85"/>
      <c r="K89" s="85"/>
      <c r="L89" s="53"/>
      <c r="M89" s="53"/>
      <c r="N89" s="53"/>
      <c r="O89" s="85"/>
      <c r="P89" s="53"/>
      <c r="Q89" s="83"/>
      <c r="R89" s="84"/>
      <c r="S89" s="53"/>
      <c r="T89" s="53"/>
      <c r="U89" s="137"/>
      <c r="V89" s="138"/>
      <c r="W89" s="83">
        <v>8760</v>
      </c>
      <c r="X89" s="139"/>
      <c r="Y89" s="139">
        <f t="shared" si="18"/>
        <v>0.61643835616438358</v>
      </c>
      <c r="Z89" s="139">
        <v>1</v>
      </c>
      <c r="AA89" s="139">
        <v>1</v>
      </c>
      <c r="AB89" s="83"/>
      <c r="AC89" s="83"/>
      <c r="AD89" s="83"/>
      <c r="AE89" s="83"/>
      <c r="AF89" s="85"/>
      <c r="AG89" s="53"/>
      <c r="AH89" s="53"/>
      <c r="AI89" s="53"/>
      <c r="AJ89" s="53"/>
      <c r="AK89" s="53"/>
      <c r="AL89" s="53"/>
      <c r="AM89" s="111"/>
      <c r="AN89" s="111"/>
    </row>
    <row r="90" spans="1:51" s="29" customFormat="1" ht="15.75" x14ac:dyDescent="0.25">
      <c r="A90" s="53">
        <v>80</v>
      </c>
      <c r="B90" s="53"/>
      <c r="C90" s="53"/>
      <c r="D90" s="53" t="s">
        <v>135</v>
      </c>
      <c r="E90" s="53"/>
      <c r="F90" s="53"/>
      <c r="G90" s="53"/>
      <c r="H90" s="53"/>
      <c r="I90" s="85"/>
      <c r="J90" s="85"/>
      <c r="K90" s="85"/>
      <c r="L90" s="53"/>
      <c r="M90" s="53"/>
      <c r="N90" s="53"/>
      <c r="O90" s="85"/>
      <c r="P90" s="53"/>
      <c r="Q90" s="83"/>
      <c r="R90" s="84"/>
      <c r="S90" s="53"/>
      <c r="T90" s="53"/>
      <c r="U90" s="137"/>
      <c r="V90" s="138"/>
      <c r="W90" s="83">
        <v>8760</v>
      </c>
      <c r="X90" s="139"/>
      <c r="Y90" s="139">
        <f t="shared" si="18"/>
        <v>0.61643835616438358</v>
      </c>
      <c r="Z90" s="139">
        <v>1</v>
      </c>
      <c r="AA90" s="139">
        <v>1</v>
      </c>
      <c r="AB90" s="83"/>
      <c r="AC90" s="83"/>
      <c r="AD90" s="83"/>
      <c r="AE90" s="83"/>
      <c r="AF90" s="85"/>
      <c r="AG90" s="53"/>
      <c r="AH90" s="53"/>
      <c r="AI90" s="53"/>
      <c r="AJ90" s="53"/>
      <c r="AK90" s="53"/>
      <c r="AL90" s="53"/>
      <c r="AM90" s="111"/>
      <c r="AN90" s="111"/>
    </row>
    <row r="91" spans="1:51" s="29" customFormat="1" ht="15.75" x14ac:dyDescent="0.25">
      <c r="A91" s="53">
        <v>81</v>
      </c>
      <c r="B91" s="53"/>
      <c r="C91" s="53"/>
      <c r="D91" s="53" t="s">
        <v>135</v>
      </c>
      <c r="E91" s="53"/>
      <c r="F91" s="53"/>
      <c r="G91" s="53"/>
      <c r="H91" s="53"/>
      <c r="I91" s="85"/>
      <c r="J91" s="85"/>
      <c r="K91" s="85"/>
      <c r="L91" s="53"/>
      <c r="M91" s="53"/>
      <c r="N91" s="53"/>
      <c r="O91" s="85"/>
      <c r="P91" s="53"/>
      <c r="Q91" s="83"/>
      <c r="R91" s="84"/>
      <c r="S91" s="53"/>
      <c r="T91" s="53"/>
      <c r="U91" s="137"/>
      <c r="V91" s="138"/>
      <c r="W91" s="83">
        <v>8760</v>
      </c>
      <c r="X91" s="139"/>
      <c r="Y91" s="139">
        <f t="shared" si="18"/>
        <v>0.61643835616438358</v>
      </c>
      <c r="Z91" s="139">
        <v>1</v>
      </c>
      <c r="AA91" s="139">
        <v>1</v>
      </c>
      <c r="AB91" s="83"/>
      <c r="AC91" s="83"/>
      <c r="AD91" s="83"/>
      <c r="AE91" s="83"/>
      <c r="AF91" s="85"/>
      <c r="AG91" s="53"/>
      <c r="AH91" s="53"/>
      <c r="AI91" s="53"/>
      <c r="AJ91" s="53"/>
      <c r="AK91" s="53"/>
      <c r="AL91" s="53"/>
      <c r="AM91" s="111"/>
      <c r="AN91" s="111"/>
    </row>
    <row r="92" spans="1:51" s="29" customFormat="1" ht="15.75" x14ac:dyDescent="0.25">
      <c r="A92" s="53">
        <v>82</v>
      </c>
      <c r="B92" s="53"/>
      <c r="C92" s="53"/>
      <c r="D92" s="53" t="s">
        <v>135</v>
      </c>
      <c r="E92" s="53"/>
      <c r="F92" s="53"/>
      <c r="G92" s="53"/>
      <c r="H92" s="53"/>
      <c r="I92" s="85"/>
      <c r="J92" s="85"/>
      <c r="K92" s="85"/>
      <c r="L92" s="53"/>
      <c r="M92" s="53"/>
      <c r="N92" s="53"/>
      <c r="O92" s="85"/>
      <c r="P92" s="53"/>
      <c r="Q92" s="83"/>
      <c r="R92" s="84"/>
      <c r="S92" s="53"/>
      <c r="T92" s="53"/>
      <c r="U92" s="137"/>
      <c r="V92" s="138"/>
      <c r="W92" s="83">
        <v>8760</v>
      </c>
      <c r="X92" s="139"/>
      <c r="Y92" s="139">
        <f t="shared" si="18"/>
        <v>0.61643835616438358</v>
      </c>
      <c r="Z92" s="139">
        <v>1</v>
      </c>
      <c r="AA92" s="139">
        <v>1</v>
      </c>
      <c r="AB92" s="83"/>
      <c r="AC92" s="83"/>
      <c r="AD92" s="83"/>
      <c r="AE92" s="83"/>
      <c r="AF92" s="85"/>
      <c r="AG92" s="53"/>
      <c r="AH92" s="53"/>
      <c r="AI92" s="53"/>
      <c r="AJ92" s="53"/>
      <c r="AK92" s="53"/>
      <c r="AL92" s="53"/>
      <c r="AM92" s="111"/>
      <c r="AN92" s="111"/>
    </row>
    <row r="93" spans="1:51" s="29" customFormat="1" ht="15.75" x14ac:dyDescent="0.25">
      <c r="A93" s="53">
        <v>83</v>
      </c>
      <c r="B93" s="53"/>
      <c r="C93" s="53"/>
      <c r="D93" s="53" t="s">
        <v>135</v>
      </c>
      <c r="E93" s="53"/>
      <c r="F93" s="53"/>
      <c r="G93" s="53"/>
      <c r="H93" s="53"/>
      <c r="I93" s="85"/>
      <c r="J93" s="85"/>
      <c r="K93" s="85"/>
      <c r="L93" s="53"/>
      <c r="M93" s="53"/>
      <c r="N93" s="53"/>
      <c r="O93" s="85"/>
      <c r="P93" s="53"/>
      <c r="Q93" s="83"/>
      <c r="R93" s="84"/>
      <c r="S93" s="53"/>
      <c r="T93" s="53"/>
      <c r="U93" s="137"/>
      <c r="V93" s="138"/>
      <c r="W93" s="83">
        <v>8760</v>
      </c>
      <c r="X93" s="139"/>
      <c r="Y93" s="139">
        <f t="shared" si="18"/>
        <v>0.61643835616438358</v>
      </c>
      <c r="Z93" s="139">
        <v>1</v>
      </c>
      <c r="AA93" s="139">
        <v>1</v>
      </c>
      <c r="AB93" s="83"/>
      <c r="AC93" s="83"/>
      <c r="AD93" s="83"/>
      <c r="AE93" s="83"/>
      <c r="AF93" s="85"/>
      <c r="AG93" s="53"/>
      <c r="AH93" s="53"/>
      <c r="AI93" s="53"/>
      <c r="AJ93" s="53"/>
      <c r="AK93" s="53"/>
      <c r="AL93" s="53"/>
      <c r="AM93" s="111"/>
      <c r="AN93" s="111"/>
    </row>
    <row r="94" spans="1:51" s="29" customFormat="1" ht="15.75" x14ac:dyDescent="0.25">
      <c r="A94" s="53">
        <v>84</v>
      </c>
      <c r="B94" s="53"/>
      <c r="C94" s="53"/>
      <c r="D94" s="53" t="s">
        <v>135</v>
      </c>
      <c r="E94" s="53"/>
      <c r="F94" s="53"/>
      <c r="G94" s="53"/>
      <c r="H94" s="53"/>
      <c r="I94" s="85"/>
      <c r="J94" s="85"/>
      <c r="K94" s="85"/>
      <c r="L94" s="53"/>
      <c r="M94" s="53"/>
      <c r="N94" s="53"/>
      <c r="O94" s="85"/>
      <c r="P94" s="53"/>
      <c r="Q94" s="83"/>
      <c r="R94" s="84"/>
      <c r="S94" s="53"/>
      <c r="T94" s="53"/>
      <c r="U94" s="137"/>
      <c r="V94" s="138"/>
      <c r="W94" s="83">
        <v>8760</v>
      </c>
      <c r="X94" s="139"/>
      <c r="Y94" s="139">
        <f t="shared" si="18"/>
        <v>0.61643835616438358</v>
      </c>
      <c r="Z94" s="139">
        <v>1</v>
      </c>
      <c r="AA94" s="139">
        <v>1</v>
      </c>
      <c r="AB94" s="83"/>
      <c r="AC94" s="83"/>
      <c r="AD94" s="83"/>
      <c r="AE94" s="83"/>
      <c r="AF94" s="85"/>
      <c r="AG94" s="53"/>
      <c r="AH94" s="53"/>
      <c r="AI94" s="53"/>
      <c r="AJ94" s="53"/>
      <c r="AK94" s="53"/>
      <c r="AL94" s="53"/>
      <c r="AM94" s="111"/>
      <c r="AN94" s="111"/>
    </row>
    <row r="96" spans="1:51" s="29" customFormat="1" ht="38.25" customHeight="1" x14ac:dyDescent="0.25">
      <c r="B96" s="170" t="s">
        <v>951</v>
      </c>
      <c r="U96" s="209" t="s">
        <v>952</v>
      </c>
      <c r="V96" s="209" t="s">
        <v>953</v>
      </c>
      <c r="X96" s="209" t="s">
        <v>1021</v>
      </c>
      <c r="Y96" s="209" t="s">
        <v>955</v>
      </c>
      <c r="Z96" s="209" t="s">
        <v>1021</v>
      </c>
      <c r="AA96" s="209" t="s">
        <v>1021</v>
      </c>
      <c r="AC96" s="211" t="s">
        <v>1022</v>
      </c>
      <c r="AD96" s="190">
        <f>SUM(AD11:AD94)-AD81-AD82</f>
        <v>180699.18156144573</v>
      </c>
      <c r="AE96" s="190">
        <f>SUM(AE11:AE94)-AE81-AE82</f>
        <v>94551.946200000006</v>
      </c>
      <c r="AF96" s="37">
        <f>AD96+AE96</f>
        <v>275251.12776144571</v>
      </c>
      <c r="AG96" s="37"/>
      <c r="AI96" s="37"/>
      <c r="AJ96" s="37"/>
      <c r="AK96" s="38"/>
      <c r="AL96" s="38"/>
      <c r="AM96" s="56">
        <f>SUM(AM11:AM94)</f>
        <v>179634.42156144572</v>
      </c>
      <c r="AN96" s="56">
        <f>SUM(AN11:AN94)</f>
        <v>98532.946200000006</v>
      </c>
      <c r="AO96" s="38"/>
      <c r="AP96" s="38"/>
      <c r="AQ96" s="38"/>
      <c r="AR96" s="38"/>
      <c r="AS96" s="79"/>
      <c r="AT96" s="38"/>
      <c r="AU96" s="77"/>
      <c r="AV96" s="77"/>
      <c r="AY96"/>
    </row>
    <row r="97" spans="4:40" ht="15.75" x14ac:dyDescent="0.25">
      <c r="AD97" s="118" t="s">
        <v>150</v>
      </c>
      <c r="AE97" s="118" t="s">
        <v>151</v>
      </c>
      <c r="AN97" s="56">
        <f>AM96+AN96</f>
        <v>278167.3677614457</v>
      </c>
    </row>
    <row r="98" spans="4:40" ht="15.75" x14ac:dyDescent="0.25">
      <c r="AD98" s="119" t="s">
        <v>201</v>
      </c>
      <c r="AE98" s="119" t="s">
        <v>201</v>
      </c>
    </row>
    <row r="100" spans="4:40" x14ac:dyDescent="0.25">
      <c r="AC100" s="29" t="s">
        <v>1023</v>
      </c>
      <c r="AD100" s="29" t="s">
        <v>1024</v>
      </c>
      <c r="AE100" s="29" t="s">
        <v>1024</v>
      </c>
    </row>
    <row r="101" spans="4:40" x14ac:dyDescent="0.25">
      <c r="AC101" s="29" t="s">
        <v>1025</v>
      </c>
      <c r="AD101" s="37">
        <f>AD81</f>
        <v>3884.5</v>
      </c>
      <c r="AE101" s="37">
        <f>AE81</f>
        <v>3884.5</v>
      </c>
      <c r="AF101" s="203">
        <f>AD101+AE101</f>
        <v>7769</v>
      </c>
      <c r="AG101" s="39">
        <f>AF96+AF101+AF104</f>
        <v>283213.12776144571</v>
      </c>
    </row>
    <row r="102" spans="4:40" x14ac:dyDescent="0.25">
      <c r="J102" s="125" t="s">
        <v>1026</v>
      </c>
      <c r="AC102" s="29"/>
      <c r="AD102" s="201">
        <f>AD101/AD96</f>
        <v>2.1497053647025501E-2</v>
      </c>
      <c r="AE102" s="201">
        <f>AE101/AE96</f>
        <v>4.1083236846160227E-2</v>
      </c>
      <c r="AF102" s="204"/>
    </row>
    <row r="103" spans="4:40" x14ac:dyDescent="0.25">
      <c r="D103" s="125" t="s">
        <v>1027</v>
      </c>
      <c r="E103" s="29"/>
      <c r="F103" s="125" t="s">
        <v>1028</v>
      </c>
      <c r="G103" s="125"/>
      <c r="J103" s="125" t="s">
        <v>1029</v>
      </c>
      <c r="AC103" s="29" t="s">
        <v>1023</v>
      </c>
      <c r="AD103" s="29" t="s">
        <v>1030</v>
      </c>
      <c r="AE103" s="29" t="s">
        <v>1030</v>
      </c>
      <c r="AF103" s="204"/>
    </row>
    <row r="104" spans="4:40" x14ac:dyDescent="0.25">
      <c r="D104" s="29"/>
      <c r="E104" s="29"/>
      <c r="F104" s="29"/>
      <c r="G104" s="29"/>
      <c r="J104" s="135" t="s">
        <v>111</v>
      </c>
      <c r="AC104" s="29" t="s">
        <v>1025</v>
      </c>
      <c r="AD104" s="202">
        <f>AD82</f>
        <v>96.5</v>
      </c>
      <c r="AE104" s="202">
        <f>AE82</f>
        <v>96.5</v>
      </c>
      <c r="AF104" s="203">
        <f>AD104+AE104</f>
        <v>193</v>
      </c>
    </row>
    <row r="105" spans="4:40" x14ac:dyDescent="0.25">
      <c r="D105" s="29"/>
      <c r="E105" s="29"/>
      <c r="F105" s="29" t="s">
        <v>110</v>
      </c>
      <c r="G105" s="29"/>
      <c r="J105" s="2" t="s">
        <v>118</v>
      </c>
      <c r="AD105" s="201">
        <f>AD104/AD96</f>
        <v>5.3403672980768715E-4</v>
      </c>
      <c r="AE105" s="201">
        <f>AE104/AE96</f>
        <v>1.0206030005546305E-3</v>
      </c>
      <c r="AF105" s="204"/>
    </row>
    <row r="106" spans="4:40" x14ac:dyDescent="0.25">
      <c r="D106" s="29"/>
      <c r="E106" s="29"/>
      <c r="F106" s="29" t="s">
        <v>117</v>
      </c>
      <c r="G106" s="29"/>
      <c r="AD106" s="29"/>
      <c r="AE106" s="29"/>
    </row>
    <row r="107" spans="4:40" ht="21" x14ac:dyDescent="0.25">
      <c r="D107" s="29"/>
      <c r="E107" s="29"/>
      <c r="F107" s="29" t="s">
        <v>124</v>
      </c>
      <c r="G107" s="29"/>
      <c r="AC107" s="213" t="s">
        <v>958</v>
      </c>
      <c r="AD107" s="29"/>
      <c r="AE107" s="29"/>
    </row>
    <row r="108" spans="4:40" ht="21" x14ac:dyDescent="0.25">
      <c r="D108" s="29"/>
      <c r="E108" s="29"/>
      <c r="F108" s="29" t="s">
        <v>129</v>
      </c>
      <c r="G108" s="29"/>
      <c r="AC108" s="213" t="s">
        <v>959</v>
      </c>
    </row>
    <row r="109" spans="4:40" ht="21" x14ac:dyDescent="0.25">
      <c r="D109" s="29"/>
      <c r="E109" s="29"/>
      <c r="F109" s="29"/>
      <c r="G109" s="29"/>
      <c r="AC109" s="216" t="s">
        <v>960</v>
      </c>
      <c r="AD109" s="217"/>
      <c r="AE109" s="217"/>
      <c r="AF109" s="217"/>
    </row>
    <row r="110" spans="4:40" x14ac:dyDescent="0.25">
      <c r="D110" s="29"/>
      <c r="E110" s="29"/>
      <c r="F110" s="29"/>
      <c r="G110" s="29"/>
      <c r="AA110" s="309" t="s">
        <v>172</v>
      </c>
      <c r="AB110" s="309" t="s">
        <v>173</v>
      </c>
      <c r="AC110" s="309" t="s">
        <v>177</v>
      </c>
      <c r="AD110" s="309" t="s">
        <v>178</v>
      </c>
      <c r="AE110" s="57"/>
      <c r="AF110" s="38"/>
    </row>
    <row r="111" spans="4:40" x14ac:dyDescent="0.25">
      <c r="D111" s="29"/>
      <c r="E111" s="29"/>
      <c r="F111" s="29"/>
      <c r="G111" s="29"/>
      <c r="AA111" s="309" t="s">
        <v>153</v>
      </c>
      <c r="AB111" s="309" t="s">
        <v>154</v>
      </c>
      <c r="AC111" s="309" t="s">
        <v>155</v>
      </c>
      <c r="AD111" s="309" t="s">
        <v>156</v>
      </c>
      <c r="AE111" s="215" t="s">
        <v>201</v>
      </c>
      <c r="AF111" s="208" t="s">
        <v>962</v>
      </c>
    </row>
    <row r="112" spans="4:40" x14ac:dyDescent="0.25">
      <c r="D112" s="29"/>
      <c r="E112" s="29"/>
      <c r="F112" s="29"/>
      <c r="G112" s="29"/>
      <c r="AA112" s="318" t="s">
        <v>211</v>
      </c>
      <c r="AB112" s="318" t="s">
        <v>586</v>
      </c>
      <c r="AC112" s="310" t="s">
        <v>1004</v>
      </c>
      <c r="AD112" s="310" t="s">
        <v>963</v>
      </c>
      <c r="AE112" s="326">
        <f>116894*AG112</f>
        <v>9351.52</v>
      </c>
      <c r="AF112" s="311">
        <v>4</v>
      </c>
      <c r="AG112" s="319">
        <v>0.08</v>
      </c>
    </row>
    <row r="113" spans="4:33" x14ac:dyDescent="0.25">
      <c r="D113" s="29"/>
      <c r="E113" s="29"/>
      <c r="F113" s="29"/>
      <c r="G113" s="29"/>
      <c r="AA113" s="318" t="s">
        <v>211</v>
      </c>
      <c r="AB113" s="318" t="s">
        <v>586</v>
      </c>
      <c r="AC113" s="310" t="s">
        <v>1004</v>
      </c>
      <c r="AD113" s="310" t="s">
        <v>964</v>
      </c>
      <c r="AE113" s="326">
        <f>116894*AG113</f>
        <v>107542.48000000001</v>
      </c>
      <c r="AF113" s="311">
        <v>0</v>
      </c>
      <c r="AG113" s="319">
        <v>0.92</v>
      </c>
    </row>
    <row r="114" spans="4:33" x14ac:dyDescent="0.25">
      <c r="D114" s="29"/>
      <c r="E114" s="29"/>
      <c r="F114" s="29"/>
      <c r="G114" s="29"/>
      <c r="AA114" s="318" t="s">
        <v>211</v>
      </c>
      <c r="AB114" s="318" t="s">
        <v>1003</v>
      </c>
      <c r="AC114" s="310" t="s">
        <v>1004</v>
      </c>
      <c r="AD114" s="310" t="s">
        <v>990</v>
      </c>
      <c r="AE114" s="326">
        <v>1282</v>
      </c>
      <c r="AF114" s="311">
        <v>1</v>
      </c>
    </row>
    <row r="115" spans="4:33" x14ac:dyDescent="0.25">
      <c r="AA115" s="320" t="s">
        <v>290</v>
      </c>
      <c r="AB115" s="320" t="s">
        <v>291</v>
      </c>
      <c r="AC115" s="312" t="s">
        <v>404</v>
      </c>
      <c r="AD115" s="312" t="s">
        <v>990</v>
      </c>
      <c r="AE115" s="313">
        <v>152846</v>
      </c>
      <c r="AF115" s="314">
        <v>59</v>
      </c>
    </row>
    <row r="116" spans="4:33" x14ac:dyDescent="0.25">
      <c r="AA116" s="318" t="s">
        <v>211</v>
      </c>
      <c r="AB116" s="310" t="s">
        <v>220</v>
      </c>
      <c r="AC116" s="310" t="s">
        <v>1004</v>
      </c>
      <c r="AD116" s="310" t="s">
        <v>990</v>
      </c>
      <c r="AE116" s="326">
        <v>7948</v>
      </c>
      <c r="AF116" s="311">
        <v>4</v>
      </c>
    </row>
    <row r="117" spans="4:33" x14ac:dyDescent="0.25">
      <c r="AA117" s="321" t="s">
        <v>226</v>
      </c>
      <c r="AB117" s="321" t="s">
        <v>1016</v>
      </c>
      <c r="AC117" s="315" t="s">
        <v>969</v>
      </c>
      <c r="AD117" s="315" t="s">
        <v>1016</v>
      </c>
      <c r="AE117" s="328">
        <v>7769</v>
      </c>
      <c r="AF117" s="316">
        <v>1</v>
      </c>
    </row>
    <row r="118" spans="4:33" x14ac:dyDescent="0.25">
      <c r="AA118" s="321" t="s">
        <v>226</v>
      </c>
      <c r="AB118" s="321" t="s">
        <v>1018</v>
      </c>
      <c r="AC118" s="315" t="s">
        <v>969</v>
      </c>
      <c r="AD118" s="315" t="s">
        <v>1018</v>
      </c>
      <c r="AE118" s="328">
        <v>193</v>
      </c>
      <c r="AF118" s="316">
        <v>1</v>
      </c>
    </row>
    <row r="119" spans="4:33" x14ac:dyDescent="0.25">
      <c r="AA119" s="322" t="s">
        <v>290</v>
      </c>
      <c r="AB119" s="322" t="s">
        <v>291</v>
      </c>
      <c r="AC119" s="323" t="s">
        <v>998</v>
      </c>
      <c r="AD119" s="323" t="s">
        <v>990</v>
      </c>
      <c r="AE119" s="324">
        <v>1968</v>
      </c>
      <c r="AF119" s="325">
        <v>2</v>
      </c>
    </row>
    <row r="120" spans="4:33" x14ac:dyDescent="0.25">
      <c r="AA120" s="1"/>
      <c r="AB120" s="1"/>
      <c r="AC120" s="1"/>
      <c r="AD120" s="186" t="s">
        <v>956</v>
      </c>
      <c r="AE120" s="56">
        <f>SUBTOTAL(9,AE112:AE119)</f>
        <v>288900</v>
      </c>
      <c r="AF120" s="210">
        <f>SUBTOTAL(9,AF112:AF119)</f>
        <v>72</v>
      </c>
    </row>
    <row r="121" spans="4:33" x14ac:dyDescent="0.25">
      <c r="AA121" s="1"/>
      <c r="AB121" s="1"/>
      <c r="AC121" s="1"/>
      <c r="AD121" s="1"/>
    </row>
    <row r="122" spans="4:33" x14ac:dyDescent="0.25">
      <c r="AA122" s="1"/>
      <c r="AB122" s="1"/>
      <c r="AC122" s="1"/>
      <c r="AD122" s="1"/>
      <c r="AE122" s="37">
        <f>AG101</f>
        <v>283213.12776144571</v>
      </c>
    </row>
    <row r="123" spans="4:33" x14ac:dyDescent="0.25">
      <c r="AA123" s="1"/>
      <c r="AB123" s="1"/>
      <c r="AC123" s="1"/>
      <c r="AD123" s="1"/>
      <c r="AE123" s="37">
        <f>AE122-AE120</f>
        <v>-5686.8722385542933</v>
      </c>
    </row>
    <row r="124" spans="4:33" x14ac:dyDescent="0.25">
      <c r="AE124" s="29" t="s">
        <v>957</v>
      </c>
    </row>
    <row r="125" spans="4:33" x14ac:dyDescent="0.25">
      <c r="AC125" s="38" t="s">
        <v>1031</v>
      </c>
      <c r="AD125" s="38" t="s">
        <v>1032</v>
      </c>
      <c r="AE125" s="214"/>
      <c r="AF125" s="38"/>
    </row>
    <row r="126" spans="4:33" x14ac:dyDescent="0.25">
      <c r="AC126" s="42" t="s">
        <v>153</v>
      </c>
      <c r="AD126" s="42" t="s">
        <v>154</v>
      </c>
      <c r="AE126" s="215" t="s">
        <v>201</v>
      </c>
      <c r="AF126" s="208" t="s">
        <v>962</v>
      </c>
    </row>
    <row r="127" spans="4:33" x14ac:dyDescent="0.25">
      <c r="AC127" s="38" t="s">
        <v>586</v>
      </c>
      <c r="AD127" s="38" t="s">
        <v>990</v>
      </c>
      <c r="AE127" s="57">
        <v>118296</v>
      </c>
      <c r="AF127" s="206">
        <v>4</v>
      </c>
    </row>
    <row r="128" spans="4:33" x14ac:dyDescent="0.25">
      <c r="AC128" s="38" t="s">
        <v>949</v>
      </c>
      <c r="AD128" s="38" t="s">
        <v>990</v>
      </c>
      <c r="AE128" s="57">
        <v>2190</v>
      </c>
      <c r="AF128" s="206">
        <v>1</v>
      </c>
    </row>
    <row r="129" spans="29:32" x14ac:dyDescent="0.25">
      <c r="AC129" s="38" t="s">
        <v>949</v>
      </c>
      <c r="AD129" s="38" t="s">
        <v>1033</v>
      </c>
      <c r="AE129" s="57">
        <v>712</v>
      </c>
      <c r="AF129" s="206">
        <v>2</v>
      </c>
    </row>
    <row r="130" spans="29:32" x14ac:dyDescent="0.25">
      <c r="AC130" s="38" t="s">
        <v>1034</v>
      </c>
      <c r="AD130" s="38" t="s">
        <v>990</v>
      </c>
      <c r="AE130" s="57">
        <v>1088</v>
      </c>
      <c r="AF130" s="206">
        <v>1</v>
      </c>
    </row>
    <row r="131" spans="29:32" x14ac:dyDescent="0.25">
      <c r="AC131" s="38" t="s">
        <v>404</v>
      </c>
      <c r="AD131" s="38" t="s">
        <v>990</v>
      </c>
      <c r="AE131" s="57">
        <v>129730</v>
      </c>
      <c r="AF131" s="206">
        <v>59</v>
      </c>
    </row>
    <row r="132" spans="29:32" x14ac:dyDescent="0.25">
      <c r="AC132" s="38" t="s">
        <v>226</v>
      </c>
      <c r="AD132" s="38" t="s">
        <v>1024</v>
      </c>
      <c r="AE132" s="57">
        <v>7769</v>
      </c>
      <c r="AF132" s="206">
        <v>1</v>
      </c>
    </row>
    <row r="133" spans="29:32" x14ac:dyDescent="0.25">
      <c r="AC133" s="38" t="s">
        <v>226</v>
      </c>
      <c r="AD133" s="38" t="s">
        <v>1018</v>
      </c>
      <c r="AE133" s="57">
        <v>193</v>
      </c>
      <c r="AF133" s="206">
        <v>1</v>
      </c>
    </row>
    <row r="134" spans="29:32" x14ac:dyDescent="0.25">
      <c r="AC134" s="42" t="s">
        <v>1035</v>
      </c>
      <c r="AD134" s="38" t="s">
        <v>990</v>
      </c>
      <c r="AE134" s="57">
        <v>1671</v>
      </c>
      <c r="AF134" s="206">
        <v>2</v>
      </c>
    </row>
    <row r="135" spans="29:32" x14ac:dyDescent="0.25">
      <c r="AC135" s="38"/>
      <c r="AD135" s="186" t="s">
        <v>956</v>
      </c>
      <c r="AE135" s="56">
        <f>SUM(AE127:AE134)</f>
        <v>261649</v>
      </c>
      <c r="AF135" s="210">
        <f>SUM(AF127:AF134)</f>
        <v>71</v>
      </c>
    </row>
  </sheetData>
  <autoFilter ref="A10:AN94" xr:uid="{00000000-0009-0000-0000-000002000000}">
    <sortState xmlns:xlrd2="http://schemas.microsoft.com/office/spreadsheetml/2017/richdata2" ref="A11:AN94">
      <sortCondition ref="A10:A94"/>
    </sortState>
  </autoFilter>
  <sortState xmlns:xlrd2="http://schemas.microsoft.com/office/spreadsheetml/2017/richdata2" ref="D105:D115">
    <sortCondition ref="D105"/>
  </sortState>
  <mergeCells count="1">
    <mergeCell ref="A1:C3"/>
  </mergeCells>
  <phoneticPr fontId="29" type="noConversion"/>
  <conditionalFormatting sqref="V11:V94 AG11:AG94">
    <cfRule type="containsText" dxfId="0" priority="2" operator="containsText" text="YES">
      <formula>NOT(ISERROR(SEARCH("YES",V11)))</formula>
    </cfRule>
  </conditionalFormatting>
  <dataValidations count="4">
    <dataValidation type="list" allowBlank="1" showInputMessage="1" showErrorMessage="1" sqref="D11:D79 D82:D94" xr:uid="{00000000-0002-0000-0200-000000000000}">
      <formula1>$D$104:$D$114</formula1>
    </dataValidation>
    <dataValidation type="list" allowBlank="1" showInputMessage="1" showErrorMessage="1" sqref="AG11:AG94 V11:V94" xr:uid="{00000000-0002-0000-0200-000001000000}">
      <formula1>$J$104:$J$105</formula1>
    </dataValidation>
    <dataValidation type="list" allowBlank="1" showInputMessage="1" showErrorMessage="1" sqref="U11:U94" xr:uid="{00000000-0002-0000-0200-000002000000}">
      <formula1>$F$104:$F$108</formula1>
    </dataValidation>
    <dataValidation type="list" allowBlank="1" showInputMessage="1" showErrorMessage="1" sqref="D80:D81" xr:uid="{00000000-0002-0000-0200-000003000000}">
      <formula1>$BI$2:$BI$11</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163B-9AAF-4C65-A882-1311269EBC40}">
  <dimension ref="A1:T54"/>
  <sheetViews>
    <sheetView topLeftCell="A15" workbookViewId="0">
      <selection activeCell="I44" sqref="I44"/>
    </sheetView>
  </sheetViews>
  <sheetFormatPr defaultRowHeight="15" x14ac:dyDescent="0.25"/>
  <cols>
    <col min="1" max="3" width="5.140625" customWidth="1"/>
    <col min="9" max="9" width="11.7109375" customWidth="1"/>
    <col min="14" max="14" width="15.7109375" bestFit="1" customWidth="1"/>
    <col min="15" max="15" width="9.140625" bestFit="1" customWidth="1"/>
    <col min="19" max="19" width="10" customWidth="1"/>
  </cols>
  <sheetData>
    <row r="1" spans="1:14" x14ac:dyDescent="0.25">
      <c r="A1" s="722" t="s">
        <v>1345</v>
      </c>
      <c r="B1" s="723"/>
      <c r="C1" s="724"/>
    </row>
    <row r="2" spans="1:14" ht="31.5" x14ac:dyDescent="0.5">
      <c r="A2" s="725"/>
      <c r="B2" s="726"/>
      <c r="C2" s="727"/>
      <c r="D2" s="151" t="s">
        <v>1346</v>
      </c>
    </row>
    <row r="3" spans="1:14" ht="23.25" x14ac:dyDescent="0.35">
      <c r="A3" s="728"/>
      <c r="B3" s="729"/>
      <c r="C3" s="730"/>
      <c r="F3" s="334" t="s">
        <v>1185</v>
      </c>
    </row>
    <row r="4" spans="1:14" ht="18.75" x14ac:dyDescent="0.3">
      <c r="D4" s="46"/>
      <c r="E4" s="46"/>
      <c r="F4" s="46"/>
      <c r="G4" s="46"/>
      <c r="H4" s="46"/>
      <c r="I4" s="46"/>
      <c r="J4" s="46"/>
      <c r="K4" s="46"/>
    </row>
    <row r="5" spans="1:14" ht="18.75" x14ac:dyDescent="0.3">
      <c r="D5" s="46"/>
      <c r="E5" s="46"/>
      <c r="F5" s="46"/>
      <c r="G5" s="46"/>
      <c r="H5" s="46"/>
      <c r="I5" s="46"/>
      <c r="J5" s="46"/>
      <c r="K5" s="46"/>
    </row>
    <row r="6" spans="1:14" ht="18.75" x14ac:dyDescent="0.3">
      <c r="D6" s="46" t="s">
        <v>1347</v>
      </c>
      <c r="E6" s="46"/>
      <c r="F6" s="46"/>
      <c r="G6" s="46"/>
      <c r="H6" s="46"/>
      <c r="I6" s="46"/>
      <c r="J6" s="46"/>
      <c r="K6" s="46"/>
    </row>
    <row r="7" spans="1:14" ht="18.75" x14ac:dyDescent="0.3">
      <c r="C7" s="46"/>
      <c r="D7" s="46"/>
      <c r="E7" s="46"/>
      <c r="F7" s="46"/>
      <c r="G7" s="46"/>
      <c r="H7" s="46"/>
      <c r="I7" s="46"/>
      <c r="J7" s="46"/>
      <c r="K7" s="46"/>
    </row>
    <row r="8" spans="1:14" ht="21" x14ac:dyDescent="0.25">
      <c r="D8" s="462" t="s">
        <v>1348</v>
      </c>
      <c r="N8" s="462" t="s">
        <v>15</v>
      </c>
    </row>
    <row r="34" spans="3:20" x14ac:dyDescent="0.25">
      <c r="C34" t="s">
        <v>1349</v>
      </c>
      <c r="M34" t="s">
        <v>1350</v>
      </c>
    </row>
    <row r="35" spans="3:20" x14ac:dyDescent="0.25">
      <c r="C35" t="s">
        <v>1351</v>
      </c>
      <c r="M35" t="s">
        <v>1351</v>
      </c>
    </row>
    <row r="36" spans="3:20" x14ac:dyDescent="0.25">
      <c r="C36" s="29"/>
      <c r="D36" s="29"/>
      <c r="E36" s="29" t="s">
        <v>1352</v>
      </c>
      <c r="M36" s="29"/>
      <c r="N36" s="29" t="s">
        <v>985</v>
      </c>
      <c r="O36" s="29" t="s">
        <v>1352</v>
      </c>
    </row>
    <row r="37" spans="3:20" x14ac:dyDescent="0.25">
      <c r="C37" s="29" t="s">
        <v>1353</v>
      </c>
      <c r="D37" s="29" t="s">
        <v>200</v>
      </c>
      <c r="E37" s="29" t="s">
        <v>1354</v>
      </c>
      <c r="M37" s="29" t="s">
        <v>1353</v>
      </c>
      <c r="N37" s="29" t="s">
        <v>1355</v>
      </c>
      <c r="O37" s="29" t="s">
        <v>1354</v>
      </c>
      <c r="S37" s="29"/>
    </row>
    <row r="38" spans="3:20" x14ac:dyDescent="0.25">
      <c r="C38" s="29">
        <v>0</v>
      </c>
      <c r="D38" s="29">
        <v>0</v>
      </c>
      <c r="E38" s="29">
        <v>80</v>
      </c>
      <c r="I38" s="29" t="s">
        <v>1356</v>
      </c>
      <c r="M38" s="29">
        <v>0</v>
      </c>
      <c r="N38" s="57">
        <v>0</v>
      </c>
      <c r="O38" s="57">
        <v>80</v>
      </c>
      <c r="S38" s="29" t="s">
        <v>1357</v>
      </c>
    </row>
    <row r="39" spans="3:20" x14ac:dyDescent="0.25">
      <c r="C39" s="29">
        <v>1</v>
      </c>
      <c r="D39" s="29">
        <v>1000</v>
      </c>
      <c r="E39" s="29">
        <v>400</v>
      </c>
      <c r="I39" s="37">
        <f>11*500</f>
        <v>5500</v>
      </c>
      <c r="M39" s="29">
        <v>1</v>
      </c>
      <c r="N39" s="57">
        <v>1000000</v>
      </c>
      <c r="O39" s="57">
        <v>160</v>
      </c>
      <c r="S39" s="37">
        <f>6*1000000</f>
        <v>6000000</v>
      </c>
    </row>
    <row r="40" spans="3:20" x14ac:dyDescent="0.25">
      <c r="C40" s="29">
        <v>2</v>
      </c>
      <c r="D40" s="29">
        <v>700</v>
      </c>
      <c r="E40" s="29">
        <v>450</v>
      </c>
      <c r="I40" s="41">
        <f>0.5*500*3</f>
        <v>750</v>
      </c>
      <c r="M40" s="29">
        <v>2</v>
      </c>
      <c r="N40" s="57">
        <v>1000000</v>
      </c>
      <c r="O40" s="57">
        <v>240</v>
      </c>
      <c r="S40" s="41">
        <f>9*500000</f>
        <v>4500000</v>
      </c>
    </row>
    <row r="41" spans="3:20" x14ac:dyDescent="0.25">
      <c r="C41" s="29">
        <v>3</v>
      </c>
      <c r="D41" s="29">
        <v>500</v>
      </c>
      <c r="E41" s="29">
        <v>448</v>
      </c>
      <c r="I41" s="37">
        <f>SUM(I39:I40)</f>
        <v>6250</v>
      </c>
      <c r="M41" s="29">
        <v>3</v>
      </c>
      <c r="N41" s="57">
        <v>1000000</v>
      </c>
      <c r="O41" s="57">
        <v>320</v>
      </c>
      <c r="S41" s="37">
        <f>SUM(S39:S40)</f>
        <v>10500000</v>
      </c>
    </row>
    <row r="42" spans="3:20" x14ac:dyDescent="0.25">
      <c r="C42" s="29">
        <v>4</v>
      </c>
      <c r="D42" s="29">
        <v>450</v>
      </c>
      <c r="E42" s="29">
        <v>452</v>
      </c>
      <c r="I42" s="37"/>
      <c r="M42" s="29">
        <v>4</v>
      </c>
      <c r="N42" s="57">
        <v>1000000</v>
      </c>
      <c r="O42" s="57">
        <v>420</v>
      </c>
      <c r="S42" s="37"/>
    </row>
    <row r="43" spans="3:20" x14ac:dyDescent="0.25">
      <c r="C43" s="29">
        <v>5</v>
      </c>
      <c r="D43" s="29">
        <v>500</v>
      </c>
      <c r="E43" s="29">
        <v>448</v>
      </c>
      <c r="I43" s="37">
        <f>I41/C50</f>
        <v>520.83333333333337</v>
      </c>
      <c r="J43" t="s">
        <v>1358</v>
      </c>
      <c r="M43" s="29">
        <v>5</v>
      </c>
      <c r="N43" s="57">
        <v>750000</v>
      </c>
      <c r="O43" s="57">
        <v>450</v>
      </c>
      <c r="S43" s="37">
        <f>S41/M54</f>
        <v>656250</v>
      </c>
      <c r="T43" t="s">
        <v>1359</v>
      </c>
    </row>
    <row r="44" spans="3:20" ht="18.75" x14ac:dyDescent="0.25">
      <c r="C44" s="29">
        <v>6</v>
      </c>
      <c r="D44" s="29">
        <v>450</v>
      </c>
      <c r="E44" s="29">
        <v>452</v>
      </c>
      <c r="I44" s="463">
        <f>I43/D39</f>
        <v>0.52083333333333337</v>
      </c>
      <c r="M44" s="29">
        <v>6</v>
      </c>
      <c r="N44" s="57">
        <v>450000</v>
      </c>
      <c r="O44" s="57">
        <v>445</v>
      </c>
      <c r="S44" s="463">
        <f>S43/N39</f>
        <v>0.65625</v>
      </c>
    </row>
    <row r="45" spans="3:20" ht="18.75" x14ac:dyDescent="0.25">
      <c r="C45" s="29">
        <v>7</v>
      </c>
      <c r="D45" s="29">
        <v>500</v>
      </c>
      <c r="E45" s="29">
        <v>448</v>
      </c>
      <c r="I45" s="464" t="s">
        <v>1360</v>
      </c>
      <c r="M45" s="29">
        <v>7</v>
      </c>
      <c r="N45" s="57">
        <v>500000</v>
      </c>
      <c r="O45" s="57">
        <v>455</v>
      </c>
      <c r="S45" s="464" t="s">
        <v>1360</v>
      </c>
    </row>
    <row r="46" spans="3:20" x14ac:dyDescent="0.25">
      <c r="C46" s="29">
        <v>8</v>
      </c>
      <c r="D46" s="29">
        <v>450</v>
      </c>
      <c r="E46" s="29">
        <v>452</v>
      </c>
      <c r="M46" s="29">
        <v>8</v>
      </c>
      <c r="N46" s="57">
        <v>450000</v>
      </c>
      <c r="O46" s="57">
        <v>445</v>
      </c>
      <c r="S46" s="37"/>
    </row>
    <row r="47" spans="3:20" x14ac:dyDescent="0.25">
      <c r="C47" s="29">
        <v>9</v>
      </c>
      <c r="D47" s="29">
        <v>500</v>
      </c>
      <c r="E47" s="29">
        <v>448</v>
      </c>
      <c r="M47" s="29">
        <v>9</v>
      </c>
      <c r="N47" s="57">
        <v>500000</v>
      </c>
      <c r="O47" s="57">
        <v>455</v>
      </c>
      <c r="S47" s="29"/>
    </row>
    <row r="48" spans="3:20" x14ac:dyDescent="0.25">
      <c r="C48" s="29">
        <v>10</v>
      </c>
      <c r="D48" s="29">
        <v>450</v>
      </c>
      <c r="E48" s="29">
        <v>452</v>
      </c>
      <c r="M48" s="29">
        <v>10</v>
      </c>
      <c r="N48" s="57">
        <v>450000</v>
      </c>
      <c r="O48" s="57">
        <v>445</v>
      </c>
      <c r="S48" s="29"/>
    </row>
    <row r="49" spans="3:15" x14ac:dyDescent="0.25">
      <c r="C49" s="29">
        <v>11</v>
      </c>
      <c r="D49" s="29">
        <v>500</v>
      </c>
      <c r="E49" s="29">
        <v>448</v>
      </c>
      <c r="M49" s="29">
        <v>11</v>
      </c>
      <c r="N49" s="57">
        <v>500000</v>
      </c>
      <c r="O49" s="57">
        <v>455</v>
      </c>
    </row>
    <row r="50" spans="3:15" x14ac:dyDescent="0.25">
      <c r="C50" s="29">
        <v>12</v>
      </c>
      <c r="D50" s="29">
        <v>0</v>
      </c>
      <c r="E50" s="29">
        <v>80</v>
      </c>
      <c r="M50" s="29">
        <v>12</v>
      </c>
      <c r="N50" s="57">
        <v>450000</v>
      </c>
      <c r="O50" s="57">
        <v>445</v>
      </c>
    </row>
    <row r="51" spans="3:15" x14ac:dyDescent="0.25">
      <c r="M51" s="29">
        <v>13</v>
      </c>
      <c r="N51" s="57">
        <v>500000</v>
      </c>
      <c r="O51" s="57">
        <v>455</v>
      </c>
    </row>
    <row r="52" spans="3:15" x14ac:dyDescent="0.25">
      <c r="M52" s="29">
        <v>14</v>
      </c>
      <c r="N52" s="57">
        <v>400000</v>
      </c>
      <c r="O52" s="57">
        <v>445</v>
      </c>
    </row>
    <row r="53" spans="3:15" x14ac:dyDescent="0.25">
      <c r="M53" s="29">
        <v>15</v>
      </c>
      <c r="N53" s="57">
        <v>0</v>
      </c>
      <c r="O53" s="57">
        <v>300</v>
      </c>
    </row>
    <row r="54" spans="3:15" x14ac:dyDescent="0.25">
      <c r="M54" s="29">
        <v>16</v>
      </c>
      <c r="N54" s="57">
        <v>0</v>
      </c>
      <c r="O54" s="57">
        <v>150</v>
      </c>
    </row>
  </sheetData>
  <mergeCells count="1">
    <mergeCell ref="A1:C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37"/>
  <sheetViews>
    <sheetView zoomScale="73" zoomScaleNormal="73" workbookViewId="0">
      <pane xSplit="5" ySplit="15" topLeftCell="F52" activePane="bottomRight" state="frozen"/>
      <selection pane="topRight" activeCell="F1" sqref="F1"/>
      <selection pane="bottomLeft" activeCell="A16" sqref="A16"/>
      <selection pane="bottomRight" activeCell="AW25" sqref="AW25"/>
    </sheetView>
  </sheetViews>
  <sheetFormatPr defaultColWidth="9.140625" defaultRowHeight="15" x14ac:dyDescent="0.25"/>
  <cols>
    <col min="1" max="4" width="3.5703125" customWidth="1"/>
    <col min="5" max="5" width="14.28515625" customWidth="1"/>
    <col min="6" max="8" width="19.140625" customWidth="1"/>
    <col min="9" max="9" width="22.42578125" customWidth="1"/>
    <col min="10" max="10" width="13.5703125" customWidth="1"/>
    <col min="11" max="11" width="15.28515625" customWidth="1"/>
    <col min="12" max="12" width="17" customWidth="1"/>
    <col min="13" max="14" width="28" customWidth="1"/>
    <col min="15" max="15" width="9.5703125" customWidth="1"/>
    <col min="16" max="16" width="19" customWidth="1"/>
    <col min="17" max="17" width="22.7109375" customWidth="1"/>
    <col min="18" max="19" width="23.28515625" customWidth="1"/>
    <col min="20" max="20" width="12.42578125" bestFit="1" customWidth="1"/>
    <col min="21" max="49" width="4.140625" customWidth="1"/>
    <col min="50" max="66" width="3.5703125" customWidth="1"/>
    <col min="67" max="67" width="6.140625" customWidth="1"/>
  </cols>
  <sheetData>
    <row r="1" spans="1:16" s="1" customFormat="1" ht="31.5" x14ac:dyDescent="0.5">
      <c r="A1" s="722">
        <v>4</v>
      </c>
      <c r="B1" s="723"/>
      <c r="C1" s="724"/>
      <c r="D1" s="151" t="s">
        <v>1179</v>
      </c>
    </row>
    <row r="2" spans="1:16" s="1" customFormat="1" ht="31.5" x14ac:dyDescent="0.25">
      <c r="A2" s="725"/>
      <c r="B2" s="726"/>
      <c r="C2" s="727"/>
      <c r="E2" s="158" t="s">
        <v>1178</v>
      </c>
    </row>
    <row r="3" spans="1:16" s="1" customFormat="1" x14ac:dyDescent="0.25">
      <c r="A3" s="728"/>
      <c r="B3" s="729"/>
      <c r="C3" s="730"/>
    </row>
    <row r="4" spans="1:16" s="1" customFormat="1" ht="31.5" x14ac:dyDescent="0.25">
      <c r="E4" s="59" t="s">
        <v>1036</v>
      </c>
    </row>
    <row r="5" spans="1:16" s="1" customFormat="1" x14ac:dyDescent="0.25"/>
    <row r="6" spans="1:16" ht="18.75" x14ac:dyDescent="0.3">
      <c r="D6" s="46" t="s">
        <v>1037</v>
      </c>
    </row>
    <row r="7" spans="1:16" ht="18.75" x14ac:dyDescent="0.3">
      <c r="D7" s="46" t="s">
        <v>1038</v>
      </c>
    </row>
    <row r="9" spans="1:16" ht="18.75" x14ac:dyDescent="0.3">
      <c r="D9" s="46"/>
      <c r="E9" s="46"/>
    </row>
    <row r="10" spans="1:16" ht="21" x14ac:dyDescent="0.35">
      <c r="D10" s="49" t="s">
        <v>1180</v>
      </c>
    </row>
    <row r="11" spans="1:16" ht="21" x14ac:dyDescent="0.25">
      <c r="F11" s="68" t="s">
        <v>1039</v>
      </c>
      <c r="G11" s="66"/>
      <c r="H11" s="66"/>
      <c r="I11" s="67"/>
      <c r="J11" s="63" t="s">
        <v>1040</v>
      </c>
      <c r="K11" s="64"/>
      <c r="L11" s="64"/>
      <c r="M11" s="64"/>
      <c r="N11" s="65"/>
    </row>
    <row r="12" spans="1:16" x14ac:dyDescent="0.25">
      <c r="G12" s="62" t="s">
        <v>1041</v>
      </c>
      <c r="J12" s="29" t="s">
        <v>290</v>
      </c>
      <c r="K12" s="29" t="s">
        <v>290</v>
      </c>
      <c r="L12" s="29" t="s">
        <v>290</v>
      </c>
      <c r="P12" s="193" t="s">
        <v>1042</v>
      </c>
    </row>
    <row r="13" spans="1:16" x14ac:dyDescent="0.25">
      <c r="E13" s="51" t="s">
        <v>1043</v>
      </c>
      <c r="F13" s="52" t="s">
        <v>1044</v>
      </c>
      <c r="G13" s="52" t="s">
        <v>1045</v>
      </c>
      <c r="H13" s="52" t="s">
        <v>1046</v>
      </c>
      <c r="I13" s="52" t="s">
        <v>1047</v>
      </c>
      <c r="J13" s="53" t="s">
        <v>1184</v>
      </c>
      <c r="K13" s="53" t="s">
        <v>1048</v>
      </c>
      <c r="L13" s="53" t="s">
        <v>1049</v>
      </c>
      <c r="M13" s="75" t="s">
        <v>1050</v>
      </c>
      <c r="N13" s="75" t="s">
        <v>1051</v>
      </c>
      <c r="O13" s="192" t="s">
        <v>1052</v>
      </c>
      <c r="P13" s="194" t="s">
        <v>1053</v>
      </c>
    </row>
    <row r="14" spans="1:16" x14ac:dyDescent="0.25">
      <c r="E14" s="54">
        <v>41275</v>
      </c>
      <c r="F14" s="56">
        <v>4164952</v>
      </c>
      <c r="G14" s="56">
        <f>F14*3412.142/1000000*3</f>
        <v>42634.222941551998</v>
      </c>
      <c r="H14" s="56">
        <v>8349246.6000000006</v>
      </c>
      <c r="I14" s="56">
        <f>H14*3412.142/1000000</f>
        <v>28488.814992217202</v>
      </c>
      <c r="J14" s="56">
        <v>1777</v>
      </c>
      <c r="K14" s="56">
        <v>236078</v>
      </c>
      <c r="L14" s="56">
        <v>31775</v>
      </c>
      <c r="M14" s="56">
        <v>771</v>
      </c>
      <c r="N14" s="56">
        <v>0</v>
      </c>
      <c r="O14" s="55">
        <f>E14</f>
        <v>41275</v>
      </c>
      <c r="P14" s="57">
        <f t="shared" ref="P14:P78" si="0">(G14/3)+I14</f>
        <v>42700.222639401203</v>
      </c>
    </row>
    <row r="15" spans="1:16" x14ac:dyDescent="0.25">
      <c r="E15" s="54">
        <v>41306</v>
      </c>
      <c r="F15" s="56">
        <v>3504019</v>
      </c>
      <c r="G15" s="56">
        <f>F15*3412.142/1000000*3</f>
        <v>35868.631196094</v>
      </c>
      <c r="H15" s="56">
        <v>9502008.9000000004</v>
      </c>
      <c r="I15" s="56">
        <f t="shared" ref="I15:I78" si="1">H15*3412.142/1000000</f>
        <v>32422.203652063799</v>
      </c>
      <c r="J15" s="56">
        <v>1984.4</v>
      </c>
      <c r="K15" s="56">
        <v>223078</v>
      </c>
      <c r="L15" s="56">
        <v>31500</v>
      </c>
      <c r="M15" s="56">
        <v>749</v>
      </c>
      <c r="N15" s="56">
        <v>0</v>
      </c>
      <c r="O15" s="55">
        <f t="shared" ref="O15:O78" si="2">E15</f>
        <v>41306</v>
      </c>
      <c r="P15" s="57">
        <f t="shared" si="0"/>
        <v>44378.414050761799</v>
      </c>
    </row>
    <row r="16" spans="1:16" x14ac:dyDescent="0.25">
      <c r="E16" s="54">
        <v>41334</v>
      </c>
      <c r="F16" s="56">
        <v>4297455</v>
      </c>
      <c r="G16" s="56">
        <f t="shared" ref="G16:G79" si="3">F16*3412.142/1000000*3</f>
        <v>43990.580095829995</v>
      </c>
      <c r="H16" s="56">
        <v>5112543.3000000007</v>
      </c>
      <c r="I16" s="56">
        <f t="shared" si="1"/>
        <v>17444.7237207486</v>
      </c>
      <c r="J16" s="56">
        <v>1895.3</v>
      </c>
      <c r="K16" s="56">
        <v>244159</v>
      </c>
      <c r="L16" s="56">
        <v>37438</v>
      </c>
      <c r="M16" s="56">
        <v>755</v>
      </c>
      <c r="N16" s="56">
        <v>0</v>
      </c>
      <c r="O16" s="55">
        <f t="shared" si="2"/>
        <v>41334</v>
      </c>
      <c r="P16" s="57">
        <f t="shared" si="0"/>
        <v>32108.250419358599</v>
      </c>
    </row>
    <row r="17" spans="5:16" x14ac:dyDescent="0.25">
      <c r="E17" s="54">
        <v>41365</v>
      </c>
      <c r="F17" s="56">
        <v>4530771</v>
      </c>
      <c r="G17" s="56">
        <f t="shared" si="3"/>
        <v>46378.902064445996</v>
      </c>
      <c r="H17" s="56">
        <v>4196019.6000000006</v>
      </c>
      <c r="I17" s="56">
        <f t="shared" si="1"/>
        <v>14317.414709983203</v>
      </c>
      <c r="J17" s="56">
        <v>1899.2</v>
      </c>
      <c r="K17" s="56">
        <v>240143</v>
      </c>
      <c r="L17" s="56">
        <v>33682</v>
      </c>
      <c r="M17" s="56">
        <v>281</v>
      </c>
      <c r="N17" s="56">
        <v>13</v>
      </c>
      <c r="O17" s="55">
        <f t="shared" si="2"/>
        <v>41365</v>
      </c>
      <c r="P17" s="57">
        <f t="shared" si="0"/>
        <v>29777.048731465202</v>
      </c>
    </row>
    <row r="18" spans="5:16" x14ac:dyDescent="0.25">
      <c r="E18" s="54">
        <v>41395</v>
      </c>
      <c r="F18" s="56">
        <v>5562059</v>
      </c>
      <c r="G18" s="56">
        <f t="shared" si="3"/>
        <v>56935.605361133988</v>
      </c>
      <c r="H18" s="56">
        <v>3189221.1</v>
      </c>
      <c r="I18" s="56">
        <f t="shared" si="1"/>
        <v>10882.0752625962</v>
      </c>
      <c r="J18" s="56">
        <v>1704.7</v>
      </c>
      <c r="K18" s="56">
        <v>229577</v>
      </c>
      <c r="L18" s="56">
        <v>33735</v>
      </c>
      <c r="M18" s="56">
        <v>130</v>
      </c>
      <c r="N18" s="56">
        <v>52</v>
      </c>
      <c r="O18" s="55">
        <f t="shared" si="2"/>
        <v>41395</v>
      </c>
      <c r="P18" s="57">
        <f t="shared" si="0"/>
        <v>29860.610382974199</v>
      </c>
    </row>
    <row r="19" spans="5:16" x14ac:dyDescent="0.25">
      <c r="E19" s="54">
        <v>41426</v>
      </c>
      <c r="F19" s="56">
        <v>5781759</v>
      </c>
      <c r="G19" s="56">
        <f t="shared" si="3"/>
        <v>59184.548153333999</v>
      </c>
      <c r="H19" s="56">
        <v>3073739.7</v>
      </c>
      <c r="I19" s="56">
        <f t="shared" si="1"/>
        <v>10488.036327437401</v>
      </c>
      <c r="J19" s="56">
        <v>1868.1</v>
      </c>
      <c r="K19" s="56">
        <v>201840</v>
      </c>
      <c r="L19" s="56">
        <v>33251</v>
      </c>
      <c r="M19" s="56">
        <v>0</v>
      </c>
      <c r="N19" s="56">
        <v>226</v>
      </c>
      <c r="O19" s="55">
        <f t="shared" si="2"/>
        <v>41426</v>
      </c>
      <c r="P19" s="57">
        <f t="shared" si="0"/>
        <v>30216.219045215403</v>
      </c>
    </row>
    <row r="20" spans="5:16" x14ac:dyDescent="0.25">
      <c r="E20" s="54">
        <v>41456</v>
      </c>
      <c r="F20" s="56">
        <v>6006005</v>
      </c>
      <c r="G20" s="56">
        <f t="shared" si="3"/>
        <v>61480.025738129996</v>
      </c>
      <c r="H20" s="56">
        <v>3265427.1</v>
      </c>
      <c r="I20" s="56">
        <f t="shared" si="1"/>
        <v>11142.1009558482</v>
      </c>
      <c r="J20" s="56">
        <v>1866.1</v>
      </c>
      <c r="K20" s="56">
        <v>224768</v>
      </c>
      <c r="L20" s="56">
        <v>35160</v>
      </c>
      <c r="M20" s="56">
        <v>0</v>
      </c>
      <c r="N20" s="56">
        <v>319</v>
      </c>
      <c r="O20" s="55">
        <f t="shared" si="2"/>
        <v>41456</v>
      </c>
      <c r="P20" s="57">
        <f t="shared" si="0"/>
        <v>31635.442868558199</v>
      </c>
    </row>
    <row r="21" spans="5:16" x14ac:dyDescent="0.25">
      <c r="E21" s="54">
        <v>41487</v>
      </c>
      <c r="F21" s="56">
        <v>5728576</v>
      </c>
      <c r="G21" s="56">
        <f t="shared" si="3"/>
        <v>58640.144309376003</v>
      </c>
      <c r="H21" s="56">
        <v>3666094.8000000003</v>
      </c>
      <c r="I21" s="56">
        <f t="shared" si="1"/>
        <v>12509.236043061599</v>
      </c>
      <c r="J21" s="56">
        <v>1751.1</v>
      </c>
      <c r="K21" s="56">
        <v>230084</v>
      </c>
      <c r="L21" s="56">
        <v>34522</v>
      </c>
      <c r="M21" s="56">
        <v>6</v>
      </c>
      <c r="N21" s="56">
        <v>239</v>
      </c>
      <c r="O21" s="55">
        <f t="shared" si="2"/>
        <v>41487</v>
      </c>
      <c r="P21" s="57">
        <f t="shared" si="0"/>
        <v>32055.9508128536</v>
      </c>
    </row>
    <row r="22" spans="5:16" x14ac:dyDescent="0.25">
      <c r="E22" s="54">
        <v>41518</v>
      </c>
      <c r="F22" s="56">
        <v>4810119</v>
      </c>
      <c r="G22" s="56">
        <f t="shared" si="3"/>
        <v>49238.427194693999</v>
      </c>
      <c r="H22" s="56">
        <v>6147479.4000000004</v>
      </c>
      <c r="I22" s="56">
        <f t="shared" si="1"/>
        <v>20976.072654874803</v>
      </c>
      <c r="J22" s="56">
        <v>2020.3</v>
      </c>
      <c r="K22" s="56">
        <v>215844</v>
      </c>
      <c r="L22" s="56">
        <v>31045</v>
      </c>
      <c r="M22" s="56">
        <v>36</v>
      </c>
      <c r="N22" s="56">
        <v>117</v>
      </c>
      <c r="O22" s="55">
        <f t="shared" si="2"/>
        <v>41518</v>
      </c>
      <c r="P22" s="57">
        <f t="shared" si="0"/>
        <v>37388.881719772806</v>
      </c>
    </row>
    <row r="23" spans="5:16" x14ac:dyDescent="0.25">
      <c r="E23" s="54">
        <v>41548</v>
      </c>
      <c r="F23" s="56">
        <v>4724452</v>
      </c>
      <c r="G23" s="56">
        <f t="shared" si="3"/>
        <v>48361.503288551998</v>
      </c>
      <c r="H23" s="56">
        <v>8731742.1000000015</v>
      </c>
      <c r="I23" s="56">
        <f t="shared" si="1"/>
        <v>29793.943952578204</v>
      </c>
      <c r="J23" s="56">
        <v>1532.7</v>
      </c>
      <c r="K23" s="56">
        <v>254262</v>
      </c>
      <c r="L23" s="56">
        <v>38981</v>
      </c>
      <c r="M23" s="56">
        <v>233</v>
      </c>
      <c r="N23" s="56">
        <v>17</v>
      </c>
      <c r="O23" s="55">
        <f t="shared" si="2"/>
        <v>41548</v>
      </c>
      <c r="P23" s="57">
        <f t="shared" si="0"/>
        <v>45914.445048762202</v>
      </c>
    </row>
    <row r="24" spans="5:16" x14ac:dyDescent="0.25">
      <c r="E24" s="54">
        <v>41579</v>
      </c>
      <c r="F24" s="56">
        <v>4397447</v>
      </c>
      <c r="G24" s="56">
        <f t="shared" si="3"/>
        <v>45014.140804422001</v>
      </c>
      <c r="H24" s="56">
        <v>8454469.5</v>
      </c>
      <c r="I24" s="56">
        <f t="shared" si="1"/>
        <v>28847.850468668999</v>
      </c>
      <c r="J24" s="56">
        <v>1375.3</v>
      </c>
      <c r="K24" s="56">
        <v>209969</v>
      </c>
      <c r="L24" s="56">
        <v>26646</v>
      </c>
      <c r="M24" s="56">
        <v>643</v>
      </c>
      <c r="N24" s="56">
        <v>0</v>
      </c>
      <c r="O24" s="55">
        <f t="shared" si="2"/>
        <v>41579</v>
      </c>
      <c r="P24" s="57">
        <f t="shared" si="0"/>
        <v>43852.564070143002</v>
      </c>
    </row>
    <row r="25" spans="5:16" ht="15.75" thickBot="1" x14ac:dyDescent="0.3">
      <c r="E25" s="72">
        <v>41609</v>
      </c>
      <c r="F25" s="73">
        <v>4397447</v>
      </c>
      <c r="G25" s="73">
        <f t="shared" si="3"/>
        <v>45014.140804422001</v>
      </c>
      <c r="H25" s="73">
        <v>16407738</v>
      </c>
      <c r="I25" s="73">
        <f t="shared" si="1"/>
        <v>55985.531954795995</v>
      </c>
      <c r="J25" s="73">
        <v>1375.3</v>
      </c>
      <c r="K25" s="73">
        <v>197644</v>
      </c>
      <c r="L25" s="73">
        <v>22581</v>
      </c>
      <c r="M25" s="73">
        <v>719</v>
      </c>
      <c r="N25" s="73">
        <v>0</v>
      </c>
      <c r="O25" s="74">
        <f t="shared" si="2"/>
        <v>41609</v>
      </c>
      <c r="P25" s="57">
        <f t="shared" si="0"/>
        <v>70990.245556269991</v>
      </c>
    </row>
    <row r="26" spans="5:16" x14ac:dyDescent="0.25">
      <c r="E26" s="69">
        <v>41640</v>
      </c>
      <c r="F26" s="70">
        <v>3517235</v>
      </c>
      <c r="G26" s="70">
        <f t="shared" si="3"/>
        <v>36003.915802109994</v>
      </c>
      <c r="H26" s="70">
        <v>12403112</v>
      </c>
      <c r="I26" s="70">
        <f t="shared" si="1"/>
        <v>42321.179385903997</v>
      </c>
      <c r="J26" s="70">
        <v>1914</v>
      </c>
      <c r="K26" s="70">
        <v>259853</v>
      </c>
      <c r="L26" s="70">
        <v>29751</v>
      </c>
      <c r="M26" s="70">
        <v>1068</v>
      </c>
      <c r="N26" s="70">
        <v>0</v>
      </c>
      <c r="O26" s="71">
        <f t="shared" si="2"/>
        <v>41640</v>
      </c>
      <c r="P26" s="57">
        <f t="shared" si="0"/>
        <v>54322.484653273998</v>
      </c>
    </row>
    <row r="27" spans="5:16" x14ac:dyDescent="0.25">
      <c r="E27" s="54">
        <v>41671</v>
      </c>
      <c r="F27" s="56">
        <v>4423642</v>
      </c>
      <c r="G27" s="56">
        <f t="shared" si="3"/>
        <v>45282.283983492001</v>
      </c>
      <c r="H27" s="56">
        <v>10798097</v>
      </c>
      <c r="I27" s="56">
        <f t="shared" si="1"/>
        <v>36844.640293773991</v>
      </c>
      <c r="J27" s="56">
        <v>1722</v>
      </c>
      <c r="K27" s="56">
        <v>229340</v>
      </c>
      <c r="L27" s="56">
        <v>29053</v>
      </c>
      <c r="M27" s="56">
        <v>693</v>
      </c>
      <c r="N27" s="56">
        <v>0</v>
      </c>
      <c r="O27" s="55">
        <f t="shared" si="2"/>
        <v>41671</v>
      </c>
      <c r="P27" s="57">
        <f t="shared" si="0"/>
        <v>51938.734954937994</v>
      </c>
    </row>
    <row r="28" spans="5:16" x14ac:dyDescent="0.25">
      <c r="E28" s="54">
        <v>41699</v>
      </c>
      <c r="F28" s="56">
        <v>7031119</v>
      </c>
      <c r="G28" s="56">
        <f t="shared" si="3"/>
        <v>71973.529340694004</v>
      </c>
      <c r="H28" s="56">
        <v>7497204</v>
      </c>
      <c r="I28" s="56">
        <f t="shared" si="1"/>
        <v>25581.524650968</v>
      </c>
      <c r="J28" s="56">
        <v>2114</v>
      </c>
      <c r="K28" s="56">
        <v>280684</v>
      </c>
      <c r="L28" s="56">
        <v>28107</v>
      </c>
      <c r="M28" s="56">
        <v>711</v>
      </c>
      <c r="N28" s="56">
        <v>0</v>
      </c>
      <c r="O28" s="55">
        <f t="shared" si="2"/>
        <v>41699</v>
      </c>
      <c r="P28" s="57">
        <f t="shared" si="0"/>
        <v>49572.701097865996</v>
      </c>
    </row>
    <row r="29" spans="5:16" x14ac:dyDescent="0.25">
      <c r="E29" s="54">
        <v>41730</v>
      </c>
      <c r="F29" s="56">
        <v>4821998</v>
      </c>
      <c r="G29" s="56">
        <f t="shared" si="3"/>
        <v>49360.025699147998</v>
      </c>
      <c r="H29" s="56">
        <v>4694110</v>
      </c>
      <c r="I29" s="56">
        <f t="shared" si="1"/>
        <v>16016.969883619999</v>
      </c>
      <c r="J29" s="56">
        <v>2086</v>
      </c>
      <c r="K29" s="56">
        <v>282183</v>
      </c>
      <c r="L29" s="56">
        <v>39300</v>
      </c>
      <c r="M29" s="56">
        <v>284</v>
      </c>
      <c r="N29" s="56">
        <v>4</v>
      </c>
      <c r="O29" s="55">
        <f t="shared" si="2"/>
        <v>41730</v>
      </c>
      <c r="P29" s="57">
        <f t="shared" si="0"/>
        <v>32470.311783336001</v>
      </c>
    </row>
    <row r="30" spans="5:16" x14ac:dyDescent="0.25">
      <c r="E30" s="54">
        <v>41760</v>
      </c>
      <c r="F30" s="56">
        <v>5268644</v>
      </c>
      <c r="G30" s="56">
        <f t="shared" si="3"/>
        <v>53932.084426343994</v>
      </c>
      <c r="H30" s="56">
        <v>3587166</v>
      </c>
      <c r="I30" s="56">
        <f t="shared" si="1"/>
        <v>12239.919769571999</v>
      </c>
      <c r="J30" s="56">
        <v>2186</v>
      </c>
      <c r="K30" s="56">
        <v>309967</v>
      </c>
      <c r="L30" s="56">
        <v>32192</v>
      </c>
      <c r="M30" s="56">
        <v>70</v>
      </c>
      <c r="N30" s="56">
        <v>102</v>
      </c>
      <c r="O30" s="55">
        <f t="shared" si="2"/>
        <v>41760</v>
      </c>
      <c r="P30" s="57">
        <f t="shared" si="0"/>
        <v>30217.281245019996</v>
      </c>
    </row>
    <row r="31" spans="5:16" x14ac:dyDescent="0.25">
      <c r="E31" s="54">
        <v>41791</v>
      </c>
      <c r="F31" s="56">
        <v>5906435</v>
      </c>
      <c r="G31" s="56">
        <f t="shared" si="3"/>
        <v>60460.784801310001</v>
      </c>
      <c r="H31" s="56">
        <v>3549109</v>
      </c>
      <c r="I31" s="56">
        <f t="shared" si="1"/>
        <v>12110.063881478</v>
      </c>
      <c r="J31" s="56">
        <v>2193</v>
      </c>
      <c r="K31" s="56">
        <v>334395</v>
      </c>
      <c r="L31" s="56">
        <v>35936</v>
      </c>
      <c r="M31" s="56">
        <v>2</v>
      </c>
      <c r="N31" s="56">
        <v>262</v>
      </c>
      <c r="O31" s="55">
        <f t="shared" si="2"/>
        <v>41791</v>
      </c>
      <c r="P31" s="57">
        <f t="shared" si="0"/>
        <v>32263.658815248</v>
      </c>
    </row>
    <row r="32" spans="5:16" x14ac:dyDescent="0.25">
      <c r="E32" s="54">
        <v>41821</v>
      </c>
      <c r="F32" s="56">
        <v>6056663</v>
      </c>
      <c r="G32" s="56">
        <f t="shared" si="3"/>
        <v>61998.582606437994</v>
      </c>
      <c r="H32" s="56">
        <v>3288289</v>
      </c>
      <c r="I32" s="56">
        <f t="shared" si="1"/>
        <v>11220.109005038001</v>
      </c>
      <c r="J32" s="56">
        <v>2621</v>
      </c>
      <c r="K32" s="56">
        <v>373362</v>
      </c>
      <c r="L32" s="56">
        <v>41918</v>
      </c>
      <c r="M32" s="56">
        <v>0</v>
      </c>
      <c r="N32" s="56">
        <v>286</v>
      </c>
      <c r="O32" s="55">
        <f t="shared" si="2"/>
        <v>41821</v>
      </c>
      <c r="P32" s="57">
        <f t="shared" si="0"/>
        <v>31886.303207183999</v>
      </c>
    </row>
    <row r="33" spans="5:16" x14ac:dyDescent="0.25">
      <c r="E33" s="54">
        <v>41852</v>
      </c>
      <c r="F33" s="56">
        <v>6548698</v>
      </c>
      <c r="G33" s="56">
        <f t="shared" si="3"/>
        <v>67035.262473348004</v>
      </c>
      <c r="H33" s="56">
        <v>2739257</v>
      </c>
      <c r="I33" s="56">
        <f t="shared" si="1"/>
        <v>9346.7338584939989</v>
      </c>
      <c r="J33" s="56">
        <v>2479</v>
      </c>
      <c r="K33" s="56">
        <v>373221</v>
      </c>
      <c r="L33" s="56">
        <v>37965</v>
      </c>
      <c r="M33" s="56">
        <v>1</v>
      </c>
      <c r="N33" s="56">
        <v>217</v>
      </c>
      <c r="O33" s="55">
        <f t="shared" si="2"/>
        <v>41852</v>
      </c>
      <c r="P33" s="57">
        <f t="shared" si="0"/>
        <v>31691.82134961</v>
      </c>
    </row>
    <row r="34" spans="5:16" x14ac:dyDescent="0.25">
      <c r="E34" s="54">
        <v>41883</v>
      </c>
      <c r="F34" s="56">
        <v>6105600</v>
      </c>
      <c r="G34" s="56">
        <f t="shared" si="3"/>
        <v>62499.522585600003</v>
      </c>
      <c r="H34" s="56">
        <v>2740191</v>
      </c>
      <c r="I34" s="56">
        <f t="shared" si="1"/>
        <v>9349.9207991219992</v>
      </c>
      <c r="J34" s="56">
        <v>2454</v>
      </c>
      <c r="K34" s="56">
        <v>390379</v>
      </c>
      <c r="L34" s="56">
        <v>44944</v>
      </c>
      <c r="M34" s="56">
        <v>31</v>
      </c>
      <c r="N34" s="56">
        <v>149</v>
      </c>
      <c r="O34" s="55">
        <f t="shared" si="2"/>
        <v>41883</v>
      </c>
      <c r="P34" s="57">
        <f t="shared" si="0"/>
        <v>30183.094994322</v>
      </c>
    </row>
    <row r="35" spans="5:16" x14ac:dyDescent="0.25">
      <c r="E35" s="54">
        <v>41913</v>
      </c>
      <c r="F35" s="56">
        <v>5024764</v>
      </c>
      <c r="G35" s="56">
        <f t="shared" si="3"/>
        <v>51435.624853463996</v>
      </c>
      <c r="H35" s="56">
        <v>5798470</v>
      </c>
      <c r="I35" s="56">
        <f t="shared" si="1"/>
        <v>19785.203022739999</v>
      </c>
      <c r="J35" s="56">
        <v>2700</v>
      </c>
      <c r="K35" s="56">
        <v>444263</v>
      </c>
      <c r="L35" s="56">
        <v>43307</v>
      </c>
      <c r="M35" s="56">
        <v>223</v>
      </c>
      <c r="N35" s="56">
        <v>16</v>
      </c>
      <c r="O35" s="55">
        <f t="shared" si="2"/>
        <v>41913</v>
      </c>
      <c r="P35" s="57">
        <f>(G35/3)+I35</f>
        <v>36930.411307228002</v>
      </c>
    </row>
    <row r="36" spans="5:16" x14ac:dyDescent="0.25">
      <c r="E36" s="54">
        <v>41944</v>
      </c>
      <c r="F36" s="56">
        <v>4887568</v>
      </c>
      <c r="G36" s="56">
        <f t="shared" si="3"/>
        <v>50031.228151967996</v>
      </c>
      <c r="H36" s="56">
        <v>9385648</v>
      </c>
      <c r="I36" s="56">
        <f t="shared" si="1"/>
        <v>32025.163738015999</v>
      </c>
      <c r="J36" s="56">
        <v>2048</v>
      </c>
      <c r="K36" s="56">
        <v>363429</v>
      </c>
      <c r="L36" s="56">
        <v>25351</v>
      </c>
      <c r="M36" s="56">
        <v>688</v>
      </c>
      <c r="N36" s="56">
        <v>0</v>
      </c>
      <c r="O36" s="55">
        <f t="shared" si="2"/>
        <v>41944</v>
      </c>
      <c r="P36" s="57">
        <f t="shared" si="0"/>
        <v>48702.239788671999</v>
      </c>
    </row>
    <row r="37" spans="5:16" ht="15.75" thickBot="1" x14ac:dyDescent="0.3">
      <c r="E37" s="72">
        <v>41974</v>
      </c>
      <c r="F37" s="73">
        <v>4537911</v>
      </c>
      <c r="G37" s="73">
        <f t="shared" si="3"/>
        <v>46451.990146085998</v>
      </c>
      <c r="H37" s="73">
        <v>9137672</v>
      </c>
      <c r="I37" s="73">
        <f t="shared" si="1"/>
        <v>31179.034413424</v>
      </c>
      <c r="J37" s="73">
        <v>2048</v>
      </c>
      <c r="K37" s="73">
        <v>381236</v>
      </c>
      <c r="L37" s="73">
        <v>40389</v>
      </c>
      <c r="M37" s="73">
        <v>729</v>
      </c>
      <c r="N37" s="73">
        <v>0</v>
      </c>
      <c r="O37" s="74">
        <f t="shared" si="2"/>
        <v>41974</v>
      </c>
      <c r="P37" s="57">
        <f t="shared" si="0"/>
        <v>46663.031128786002</v>
      </c>
    </row>
    <row r="38" spans="5:16" x14ac:dyDescent="0.25">
      <c r="E38" s="69">
        <v>42005</v>
      </c>
      <c r="F38" s="70">
        <v>4022006</v>
      </c>
      <c r="G38" s="70">
        <f t="shared" si="3"/>
        <v>41170.966790555998</v>
      </c>
      <c r="H38" s="70">
        <v>15237758</v>
      </c>
      <c r="I38" s="70">
        <f t="shared" si="1"/>
        <v>51993.394057635996</v>
      </c>
      <c r="J38" s="70">
        <v>2644</v>
      </c>
      <c r="K38" s="70">
        <v>455114</v>
      </c>
      <c r="L38" s="70">
        <v>46803</v>
      </c>
      <c r="M38" s="70">
        <v>922</v>
      </c>
      <c r="N38" s="70">
        <v>0</v>
      </c>
      <c r="O38" s="71">
        <f t="shared" si="2"/>
        <v>42005</v>
      </c>
      <c r="P38" s="57">
        <f t="shared" si="0"/>
        <v>65717.049654488001</v>
      </c>
    </row>
    <row r="39" spans="5:16" x14ac:dyDescent="0.25">
      <c r="E39" s="54">
        <v>42036</v>
      </c>
      <c r="F39" s="56">
        <v>4967702</v>
      </c>
      <c r="G39" s="56">
        <f t="shared" si="3"/>
        <v>50851.513913051996</v>
      </c>
      <c r="H39" s="56">
        <v>15353200</v>
      </c>
      <c r="I39" s="56">
        <f t="shared" si="1"/>
        <v>52387.298554399997</v>
      </c>
      <c r="J39" s="56">
        <v>2790</v>
      </c>
      <c r="K39" s="56">
        <v>421595</v>
      </c>
      <c r="L39" s="56">
        <v>45522</v>
      </c>
      <c r="M39" s="56">
        <v>922</v>
      </c>
      <c r="N39" s="56">
        <v>0</v>
      </c>
      <c r="O39" s="55">
        <f t="shared" si="2"/>
        <v>42036</v>
      </c>
      <c r="P39" s="57">
        <f t="shared" si="0"/>
        <v>69337.803192084</v>
      </c>
    </row>
    <row r="40" spans="5:16" x14ac:dyDescent="0.25">
      <c r="E40" s="54">
        <v>42064</v>
      </c>
      <c r="F40" s="56">
        <v>4621016</v>
      </c>
      <c r="G40" s="56">
        <f t="shared" si="3"/>
        <v>47302.688328816002</v>
      </c>
      <c r="H40" s="56">
        <v>9653471</v>
      </c>
      <c r="I40" s="56">
        <f t="shared" si="1"/>
        <v>32939.013844882</v>
      </c>
      <c r="J40" s="56">
        <v>2707</v>
      </c>
      <c r="K40" s="56">
        <v>459390</v>
      </c>
      <c r="L40" s="56">
        <v>54317</v>
      </c>
      <c r="M40" s="56">
        <v>543</v>
      </c>
      <c r="N40" s="56">
        <v>0</v>
      </c>
      <c r="O40" s="55">
        <f t="shared" si="2"/>
        <v>42064</v>
      </c>
      <c r="P40" s="57">
        <f t="shared" si="0"/>
        <v>48706.576621154003</v>
      </c>
    </row>
    <row r="41" spans="5:16" x14ac:dyDescent="0.25">
      <c r="E41" s="54">
        <v>42095</v>
      </c>
      <c r="F41" s="56">
        <v>4864901</v>
      </c>
      <c r="G41" s="56">
        <f t="shared" si="3"/>
        <v>49799.199083825995</v>
      </c>
      <c r="H41" s="56">
        <v>5680684</v>
      </c>
      <c r="I41" s="56">
        <f t="shared" si="1"/>
        <v>19383.300465127999</v>
      </c>
      <c r="J41" s="56">
        <v>3019</v>
      </c>
      <c r="K41" s="56">
        <v>438370</v>
      </c>
      <c r="L41" s="56">
        <v>49067</v>
      </c>
      <c r="M41" s="56">
        <v>274</v>
      </c>
      <c r="N41" s="56">
        <v>22</v>
      </c>
      <c r="O41" s="55">
        <f t="shared" si="2"/>
        <v>42095</v>
      </c>
      <c r="P41" s="57">
        <f t="shared" si="0"/>
        <v>35983.033493069997</v>
      </c>
    </row>
    <row r="42" spans="5:16" x14ac:dyDescent="0.25">
      <c r="E42" s="54">
        <v>42125</v>
      </c>
      <c r="F42" s="56">
        <v>5446778</v>
      </c>
      <c r="G42" s="56">
        <f t="shared" si="3"/>
        <v>55755.539935427994</v>
      </c>
      <c r="H42" s="56">
        <v>3733699</v>
      </c>
      <c r="I42" s="56">
        <f t="shared" si="1"/>
        <v>12739.911173257999</v>
      </c>
      <c r="J42" s="56">
        <v>2946</v>
      </c>
      <c r="K42" s="56">
        <v>414955</v>
      </c>
      <c r="L42" s="56">
        <v>49704</v>
      </c>
      <c r="M42" s="56">
        <v>47</v>
      </c>
      <c r="N42" s="56">
        <v>116</v>
      </c>
      <c r="O42" s="55">
        <f t="shared" si="2"/>
        <v>42125</v>
      </c>
      <c r="P42" s="57">
        <f t="shared" si="0"/>
        <v>31325.091151733996</v>
      </c>
    </row>
    <row r="43" spans="5:16" x14ac:dyDescent="0.25">
      <c r="E43" s="54">
        <v>42156</v>
      </c>
      <c r="F43" s="56">
        <v>6179017</v>
      </c>
      <c r="G43" s="56">
        <f t="shared" si="3"/>
        <v>63251.050273241992</v>
      </c>
      <c r="H43" s="56">
        <v>2714938</v>
      </c>
      <c r="I43" s="56">
        <f t="shared" si="1"/>
        <v>9263.7539771960001</v>
      </c>
      <c r="J43" s="56">
        <v>3173</v>
      </c>
      <c r="K43" s="56">
        <v>459956</v>
      </c>
      <c r="L43" s="56">
        <v>51465</v>
      </c>
      <c r="M43" s="56">
        <v>6</v>
      </c>
      <c r="N43" s="56">
        <v>326</v>
      </c>
      <c r="O43" s="55">
        <f t="shared" si="2"/>
        <v>42156</v>
      </c>
      <c r="P43" s="57">
        <f t="shared" si="0"/>
        <v>30347.437401609997</v>
      </c>
    </row>
    <row r="44" spans="5:16" x14ac:dyDescent="0.25">
      <c r="E44" s="54">
        <v>42186</v>
      </c>
      <c r="F44" s="56">
        <v>6642565</v>
      </c>
      <c r="G44" s="56">
        <f t="shared" si="3"/>
        <v>67996.125072690003</v>
      </c>
      <c r="H44" s="56">
        <v>2443034</v>
      </c>
      <c r="I44" s="56">
        <f t="shared" si="1"/>
        <v>8335.9789188279992</v>
      </c>
      <c r="J44" s="56">
        <v>2988</v>
      </c>
      <c r="K44" s="56">
        <v>453940</v>
      </c>
      <c r="L44" s="56">
        <v>62149</v>
      </c>
      <c r="M44" s="56">
        <v>0</v>
      </c>
      <c r="N44" s="56">
        <v>378</v>
      </c>
      <c r="O44" s="55">
        <f t="shared" si="2"/>
        <v>42186</v>
      </c>
      <c r="P44" s="57">
        <f t="shared" si="0"/>
        <v>31001.353943057999</v>
      </c>
    </row>
    <row r="45" spans="5:16" x14ac:dyDescent="0.25">
      <c r="E45" s="54">
        <v>42217</v>
      </c>
      <c r="F45" s="56">
        <v>7073003</v>
      </c>
      <c r="G45" s="56">
        <f t="shared" si="3"/>
        <v>72402.271807277997</v>
      </c>
      <c r="H45" s="56">
        <v>2307375</v>
      </c>
      <c r="I45" s="56">
        <f t="shared" si="1"/>
        <v>7873.0911472500002</v>
      </c>
      <c r="J45" s="56">
        <v>2918</v>
      </c>
      <c r="K45" s="56">
        <v>446655</v>
      </c>
      <c r="L45" s="56">
        <v>48412</v>
      </c>
      <c r="M45" s="56">
        <v>0</v>
      </c>
      <c r="N45" s="56">
        <v>298</v>
      </c>
      <c r="O45" s="55">
        <f t="shared" si="2"/>
        <v>42217</v>
      </c>
      <c r="P45" s="57">
        <f t="shared" si="0"/>
        <v>32007.181749676001</v>
      </c>
    </row>
    <row r="46" spans="5:16" x14ac:dyDescent="0.25">
      <c r="E46" s="54">
        <v>42248</v>
      </c>
      <c r="F46" s="56">
        <v>6234949</v>
      </c>
      <c r="G46" s="56">
        <f t="shared" si="3"/>
        <v>63823.594052273998</v>
      </c>
      <c r="H46" s="56">
        <v>3849727</v>
      </c>
      <c r="I46" s="56">
        <f t="shared" si="1"/>
        <v>13135.815185234</v>
      </c>
      <c r="J46" s="56">
        <v>3001</v>
      </c>
      <c r="K46" s="56">
        <v>461365</v>
      </c>
      <c r="L46" s="56">
        <v>50352</v>
      </c>
      <c r="M46" s="56">
        <v>34</v>
      </c>
      <c r="N46" s="56">
        <v>138</v>
      </c>
      <c r="O46" s="55">
        <f t="shared" si="2"/>
        <v>42248</v>
      </c>
      <c r="P46" s="57">
        <f t="shared" si="0"/>
        <v>34410.346535992001</v>
      </c>
    </row>
    <row r="47" spans="5:16" x14ac:dyDescent="0.25">
      <c r="E47" s="54">
        <v>42278</v>
      </c>
      <c r="F47" s="56">
        <v>5603891</v>
      </c>
      <c r="G47" s="56">
        <f t="shared" si="3"/>
        <v>57363.815533565998</v>
      </c>
      <c r="H47" s="56">
        <v>7691543</v>
      </c>
      <c r="I47" s="56">
        <f t="shared" si="1"/>
        <v>26244.636915105999</v>
      </c>
      <c r="J47" s="56">
        <v>3153</v>
      </c>
      <c r="K47" s="56">
        <v>484882</v>
      </c>
      <c r="L47" s="56">
        <v>54325</v>
      </c>
      <c r="M47" s="56">
        <v>256</v>
      </c>
      <c r="N47" s="56">
        <v>6</v>
      </c>
      <c r="O47" s="55">
        <f t="shared" si="2"/>
        <v>42278</v>
      </c>
      <c r="P47" s="57">
        <f t="shared" si="0"/>
        <v>45365.908759628001</v>
      </c>
    </row>
    <row r="48" spans="5:16" x14ac:dyDescent="0.25">
      <c r="E48" s="54">
        <v>42309</v>
      </c>
      <c r="F48" s="56">
        <v>5039779</v>
      </c>
      <c r="G48" s="56">
        <f t="shared" si="3"/>
        <v>51589.324789853999</v>
      </c>
      <c r="H48" s="56">
        <v>6625023</v>
      </c>
      <c r="I48" s="56">
        <f t="shared" si="1"/>
        <v>22605.519229265999</v>
      </c>
      <c r="J48" s="56">
        <v>1794</v>
      </c>
      <c r="K48" s="56">
        <v>331986</v>
      </c>
      <c r="L48" s="56">
        <v>32033</v>
      </c>
      <c r="M48" s="56">
        <v>446</v>
      </c>
      <c r="N48" s="56">
        <v>1</v>
      </c>
      <c r="O48" s="55">
        <f t="shared" si="2"/>
        <v>42309</v>
      </c>
      <c r="P48" s="57">
        <f t="shared" si="0"/>
        <v>39801.960825884002</v>
      </c>
    </row>
    <row r="49" spans="5:16" ht="15.75" thickBot="1" x14ac:dyDescent="0.3">
      <c r="E49" s="72">
        <v>42339</v>
      </c>
      <c r="F49" s="73">
        <v>4243891</v>
      </c>
      <c r="G49" s="73">
        <f t="shared" si="3"/>
        <v>43442.276173566002</v>
      </c>
      <c r="H49" s="73">
        <v>6936775</v>
      </c>
      <c r="I49" s="73">
        <f t="shared" si="1"/>
        <v>23669.261322049999</v>
      </c>
      <c r="J49" s="73">
        <v>2027</v>
      </c>
      <c r="K49" s="73">
        <v>307323</v>
      </c>
      <c r="L49" s="73">
        <v>38331</v>
      </c>
      <c r="M49" s="73">
        <v>475</v>
      </c>
      <c r="N49" s="73">
        <v>5</v>
      </c>
      <c r="O49" s="74">
        <f t="shared" si="2"/>
        <v>42339</v>
      </c>
      <c r="P49" s="57">
        <f t="shared" si="0"/>
        <v>38150.020046571997</v>
      </c>
    </row>
    <row r="50" spans="5:16" x14ac:dyDescent="0.25">
      <c r="E50" s="69">
        <v>42370</v>
      </c>
      <c r="F50" s="70">
        <v>3514215</v>
      </c>
      <c r="G50" s="70">
        <f t="shared" si="3"/>
        <v>35973.001795589997</v>
      </c>
      <c r="H50" s="70">
        <v>13921016</v>
      </c>
      <c r="I50" s="70">
        <f t="shared" si="1"/>
        <v>47500.483376271994</v>
      </c>
      <c r="J50" s="70">
        <v>1794</v>
      </c>
      <c r="K50" s="70">
        <v>165319</v>
      </c>
      <c r="L50" s="70">
        <v>34717</v>
      </c>
      <c r="M50" s="70">
        <v>956</v>
      </c>
      <c r="N50" s="70">
        <v>0</v>
      </c>
      <c r="O50" s="71">
        <f t="shared" si="2"/>
        <v>42370</v>
      </c>
      <c r="P50" s="57">
        <f t="shared" si="0"/>
        <v>59491.483974801995</v>
      </c>
    </row>
    <row r="51" spans="5:16" x14ac:dyDescent="0.25">
      <c r="E51" s="54">
        <v>42401</v>
      </c>
      <c r="F51" s="56">
        <v>4406172</v>
      </c>
      <c r="G51" s="56">
        <f t="shared" si="3"/>
        <v>45103.453621271998</v>
      </c>
      <c r="H51" s="56">
        <v>11452784</v>
      </c>
      <c r="I51" s="56">
        <f t="shared" si="1"/>
        <v>39078.525303327995</v>
      </c>
      <c r="J51" s="56">
        <v>1743</v>
      </c>
      <c r="K51" s="56">
        <v>179610</v>
      </c>
      <c r="L51" s="56">
        <v>29160</v>
      </c>
      <c r="M51" s="56">
        <v>752</v>
      </c>
      <c r="N51" s="56">
        <v>0</v>
      </c>
      <c r="O51" s="55">
        <f t="shared" si="2"/>
        <v>42401</v>
      </c>
      <c r="P51" s="57">
        <f t="shared" si="0"/>
        <v>54113.009843751992</v>
      </c>
    </row>
    <row r="52" spans="5:16" x14ac:dyDescent="0.25">
      <c r="E52" s="54">
        <v>42430</v>
      </c>
      <c r="F52" s="56">
        <v>3869150</v>
      </c>
      <c r="G52" s="56">
        <f t="shared" si="3"/>
        <v>39606.267657899996</v>
      </c>
      <c r="H52" s="56">
        <v>6147140</v>
      </c>
      <c r="I52" s="56">
        <f t="shared" si="1"/>
        <v>20974.914573879996</v>
      </c>
      <c r="J52" s="56">
        <v>1644</v>
      </c>
      <c r="K52" s="56">
        <v>216247</v>
      </c>
      <c r="L52" s="56">
        <v>36186</v>
      </c>
      <c r="M52" s="56">
        <v>398</v>
      </c>
      <c r="N52" s="56">
        <v>2</v>
      </c>
      <c r="O52" s="55">
        <f t="shared" si="2"/>
        <v>42430</v>
      </c>
      <c r="P52" s="57">
        <f t="shared" si="0"/>
        <v>34177.003793179996</v>
      </c>
    </row>
    <row r="53" spans="5:16" x14ac:dyDescent="0.25">
      <c r="E53" s="54">
        <v>42461</v>
      </c>
      <c r="F53" s="56">
        <v>4236179</v>
      </c>
      <c r="G53" s="56">
        <f t="shared" si="3"/>
        <v>43363.332856253997</v>
      </c>
      <c r="H53" s="56">
        <v>5123984</v>
      </c>
      <c r="I53" s="56">
        <f t="shared" si="1"/>
        <v>17483.761013727999</v>
      </c>
      <c r="J53" s="56">
        <v>1569</v>
      </c>
      <c r="K53" s="56">
        <v>204889</v>
      </c>
      <c r="L53" s="56">
        <v>37145</v>
      </c>
      <c r="M53" s="56">
        <v>287</v>
      </c>
      <c r="N53" s="56">
        <v>28</v>
      </c>
      <c r="O53" s="55">
        <f t="shared" si="2"/>
        <v>42461</v>
      </c>
      <c r="P53" s="57">
        <f t="shared" si="0"/>
        <v>31938.205299146</v>
      </c>
    </row>
    <row r="54" spans="5:16" x14ac:dyDescent="0.25">
      <c r="E54" s="54">
        <v>42491</v>
      </c>
      <c r="F54" s="56">
        <v>4400509</v>
      </c>
      <c r="G54" s="56">
        <f t="shared" si="3"/>
        <v>45045.484740833999</v>
      </c>
      <c r="H54" s="56">
        <v>3893970</v>
      </c>
      <c r="I54" s="56">
        <f t="shared" si="1"/>
        <v>13286.778583740001</v>
      </c>
      <c r="J54" s="56">
        <v>1585</v>
      </c>
      <c r="K54" s="56">
        <v>201131</v>
      </c>
      <c r="L54" s="56">
        <v>30637</v>
      </c>
      <c r="M54" s="56">
        <v>107</v>
      </c>
      <c r="N54" s="56">
        <v>61</v>
      </c>
      <c r="O54" s="55">
        <f t="shared" si="2"/>
        <v>42491</v>
      </c>
      <c r="P54" s="57">
        <f t="shared" si="0"/>
        <v>28301.940164018</v>
      </c>
    </row>
    <row r="55" spans="5:16" x14ac:dyDescent="0.25">
      <c r="E55" s="54">
        <v>42522</v>
      </c>
      <c r="F55" s="56">
        <v>5072456</v>
      </c>
      <c r="G55" s="56">
        <f t="shared" si="3"/>
        <v>51923.820482255993</v>
      </c>
      <c r="H55" s="56">
        <v>2722263</v>
      </c>
      <c r="I55" s="56">
        <f t="shared" si="1"/>
        <v>9288.7479173459997</v>
      </c>
      <c r="J55" s="56">
        <v>1651</v>
      </c>
      <c r="K55" s="56">
        <v>207360</v>
      </c>
      <c r="L55" s="56">
        <v>39214</v>
      </c>
      <c r="M55" s="56">
        <v>0</v>
      </c>
      <c r="N55" s="56">
        <v>270</v>
      </c>
      <c r="O55" s="55">
        <f t="shared" si="2"/>
        <v>42522</v>
      </c>
      <c r="P55" s="57">
        <f t="shared" si="0"/>
        <v>26596.688078097999</v>
      </c>
    </row>
    <row r="56" spans="5:16" x14ac:dyDescent="0.25">
      <c r="E56" s="54">
        <v>42552</v>
      </c>
      <c r="F56" s="56">
        <v>5533482</v>
      </c>
      <c r="G56" s="56">
        <f t="shared" si="3"/>
        <v>56643.079015331998</v>
      </c>
      <c r="H56" s="56">
        <v>2723435</v>
      </c>
      <c r="I56" s="56">
        <f t="shared" si="1"/>
        <v>9292.7469477699997</v>
      </c>
      <c r="J56" s="56">
        <v>1434</v>
      </c>
      <c r="K56" s="56">
        <v>175627</v>
      </c>
      <c r="L56" s="56">
        <v>29911</v>
      </c>
      <c r="M56" s="56">
        <v>0</v>
      </c>
      <c r="N56" s="56">
        <v>429</v>
      </c>
      <c r="O56" s="55">
        <f t="shared" si="2"/>
        <v>42552</v>
      </c>
      <c r="P56" s="57">
        <f t="shared" si="0"/>
        <v>28173.773286214</v>
      </c>
    </row>
    <row r="57" spans="5:16" x14ac:dyDescent="0.25">
      <c r="E57" s="54">
        <v>42583</v>
      </c>
      <c r="F57" s="56">
        <v>5302696</v>
      </c>
      <c r="G57" s="56">
        <f t="shared" si="3"/>
        <v>54280.655204495997</v>
      </c>
      <c r="H57" s="56">
        <v>2118097</v>
      </c>
      <c r="I57" s="56">
        <f t="shared" si="1"/>
        <v>7227.2477337739992</v>
      </c>
      <c r="J57" s="56">
        <v>1730</v>
      </c>
      <c r="K57" s="56">
        <v>213943</v>
      </c>
      <c r="L57" s="56">
        <v>33443</v>
      </c>
      <c r="M57" s="56">
        <v>0</v>
      </c>
      <c r="N57" s="56">
        <v>390</v>
      </c>
      <c r="O57" s="55">
        <f t="shared" si="2"/>
        <v>42583</v>
      </c>
      <c r="P57" s="57">
        <f t="shared" si="0"/>
        <v>25320.799468605997</v>
      </c>
    </row>
    <row r="58" spans="5:16" x14ac:dyDescent="0.25">
      <c r="E58" s="54">
        <v>42614</v>
      </c>
      <c r="F58" s="56">
        <v>4960000</v>
      </c>
      <c r="G58" s="56">
        <f t="shared" si="3"/>
        <v>50772.672960000004</v>
      </c>
      <c r="H58" s="56">
        <v>1682992</v>
      </c>
      <c r="I58" s="56">
        <f t="shared" si="1"/>
        <v>5742.6076888639991</v>
      </c>
      <c r="J58" s="56">
        <v>1589</v>
      </c>
      <c r="K58" s="56">
        <v>201077</v>
      </c>
      <c r="L58" s="56">
        <v>33479</v>
      </c>
      <c r="M58" s="56">
        <v>0</v>
      </c>
      <c r="N58" s="56">
        <v>243</v>
      </c>
      <c r="O58" s="55">
        <f t="shared" si="2"/>
        <v>42614</v>
      </c>
      <c r="P58" s="57">
        <f t="shared" si="0"/>
        <v>22666.832008863999</v>
      </c>
    </row>
    <row r="59" spans="5:16" x14ac:dyDescent="0.25">
      <c r="E59" s="54">
        <v>42644</v>
      </c>
      <c r="F59" s="56">
        <v>4618775</v>
      </c>
      <c r="G59" s="56">
        <f t="shared" si="3"/>
        <v>47279.748498150002</v>
      </c>
      <c r="H59" s="56">
        <v>4162065</v>
      </c>
      <c r="I59" s="56">
        <f t="shared" si="1"/>
        <v>14201.55679323</v>
      </c>
      <c r="J59" s="56">
        <v>1575</v>
      </c>
      <c r="K59" s="56">
        <v>194768</v>
      </c>
      <c r="L59" s="56">
        <v>34178</v>
      </c>
      <c r="M59" s="56">
        <v>166</v>
      </c>
      <c r="N59" s="56">
        <v>15</v>
      </c>
      <c r="O59" s="55">
        <f t="shared" si="2"/>
        <v>42644</v>
      </c>
      <c r="P59" s="57">
        <f t="shared" si="0"/>
        <v>29961.472959279999</v>
      </c>
    </row>
    <row r="60" spans="5:16" x14ac:dyDescent="0.25">
      <c r="E60" s="54">
        <v>42675</v>
      </c>
      <c r="F60" s="56">
        <v>3942547</v>
      </c>
      <c r="G60" s="56">
        <f t="shared" si="3"/>
        <v>40357.590617021997</v>
      </c>
      <c r="H60" s="56">
        <v>5717309</v>
      </c>
      <c r="I60" s="56">
        <f t="shared" si="1"/>
        <v>19508.270165877999</v>
      </c>
      <c r="J60" s="56">
        <v>1405</v>
      </c>
      <c r="K60" s="56">
        <v>171709</v>
      </c>
      <c r="L60" s="56">
        <v>29321</v>
      </c>
      <c r="M60" s="56">
        <v>479</v>
      </c>
      <c r="N60" s="56">
        <v>0</v>
      </c>
      <c r="O60" s="55">
        <f t="shared" si="2"/>
        <v>42675</v>
      </c>
      <c r="P60" s="57">
        <f t="shared" si="0"/>
        <v>32960.800371551995</v>
      </c>
    </row>
    <row r="61" spans="5:16" ht="15.75" thickBot="1" x14ac:dyDescent="0.3">
      <c r="E61" s="72">
        <v>42705</v>
      </c>
      <c r="F61" s="73">
        <v>3748018</v>
      </c>
      <c r="G61" s="73">
        <f t="shared" si="3"/>
        <v>38366.308903668003</v>
      </c>
      <c r="H61" s="73">
        <v>9194633</v>
      </c>
      <c r="I61" s="73">
        <f t="shared" si="1"/>
        <v>31373.393433885998</v>
      </c>
      <c r="J61" s="73">
        <v>1221</v>
      </c>
      <c r="K61" s="73">
        <v>153344</v>
      </c>
      <c r="L61" s="73">
        <v>31679</v>
      </c>
      <c r="M61" s="73">
        <v>767</v>
      </c>
      <c r="N61" s="73">
        <v>0</v>
      </c>
      <c r="O61" s="74">
        <f t="shared" si="2"/>
        <v>42705</v>
      </c>
      <c r="P61" s="57">
        <f t="shared" si="0"/>
        <v>44162.163068442002</v>
      </c>
    </row>
    <row r="62" spans="5:16" x14ac:dyDescent="0.25">
      <c r="E62" s="69">
        <v>42736</v>
      </c>
      <c r="F62" s="70">
        <v>3532063</v>
      </c>
      <c r="G62" s="70">
        <f t="shared" si="3"/>
        <v>36155.701526837998</v>
      </c>
      <c r="H62" s="70">
        <v>9378637</v>
      </c>
      <c r="I62" s="70">
        <f t="shared" si="1"/>
        <v>32001.241210453998</v>
      </c>
      <c r="J62" s="70">
        <v>1576</v>
      </c>
      <c r="K62" s="70">
        <v>193277</v>
      </c>
      <c r="L62" s="70">
        <v>25906</v>
      </c>
      <c r="M62" s="70">
        <v>751</v>
      </c>
      <c r="N62" s="70">
        <v>0</v>
      </c>
      <c r="O62" s="71">
        <f t="shared" si="2"/>
        <v>42736</v>
      </c>
      <c r="P62" s="57">
        <f t="shared" si="0"/>
        <v>44053.141719399995</v>
      </c>
    </row>
    <row r="63" spans="5:16" x14ac:dyDescent="0.25">
      <c r="E63" s="54">
        <v>42767</v>
      </c>
      <c r="F63" s="56">
        <v>3841201</v>
      </c>
      <c r="G63" s="56">
        <f t="shared" si="3"/>
        <v>39320.169787626</v>
      </c>
      <c r="H63" s="56">
        <v>6394139</v>
      </c>
      <c r="I63" s="56">
        <f t="shared" si="1"/>
        <v>21817.710235737999</v>
      </c>
      <c r="J63" s="56">
        <v>1504</v>
      </c>
      <c r="K63" s="56">
        <v>183052</v>
      </c>
      <c r="L63" s="56">
        <v>26156</v>
      </c>
      <c r="M63" s="56">
        <v>484</v>
      </c>
      <c r="N63" s="56">
        <v>0</v>
      </c>
      <c r="O63" s="55">
        <f t="shared" si="2"/>
        <v>42767</v>
      </c>
      <c r="P63" s="57">
        <f t="shared" si="0"/>
        <v>34924.433498279999</v>
      </c>
    </row>
    <row r="64" spans="5:16" x14ac:dyDescent="0.25">
      <c r="E64" s="54">
        <v>42795</v>
      </c>
      <c r="F64" s="56">
        <v>3644224</v>
      </c>
      <c r="G64" s="56">
        <f t="shared" si="3"/>
        <v>37303.829303423998</v>
      </c>
      <c r="H64" s="56">
        <v>7678065</v>
      </c>
      <c r="I64" s="56">
        <f t="shared" si="1"/>
        <v>26198.648065229998</v>
      </c>
      <c r="J64" s="56">
        <v>1744</v>
      </c>
      <c r="K64" s="56">
        <v>210301</v>
      </c>
      <c r="L64" s="56">
        <v>31349</v>
      </c>
      <c r="M64" s="56">
        <v>557</v>
      </c>
      <c r="N64" s="56">
        <v>2</v>
      </c>
      <c r="O64" s="55">
        <f t="shared" si="2"/>
        <v>42795</v>
      </c>
      <c r="P64" s="57">
        <f t="shared" si="0"/>
        <v>38633.257833037998</v>
      </c>
    </row>
    <row r="65" spans="5:18" x14ac:dyDescent="0.25">
      <c r="E65" s="54">
        <v>42826</v>
      </c>
      <c r="F65" s="56">
        <v>4170606</v>
      </c>
      <c r="G65" s="56">
        <f t="shared" si="3"/>
        <v>42692.099694156001</v>
      </c>
      <c r="H65" s="56">
        <v>3848848</v>
      </c>
      <c r="I65" s="56">
        <f t="shared" si="1"/>
        <v>13132.815912415999</v>
      </c>
      <c r="J65" s="56">
        <v>1482</v>
      </c>
      <c r="K65" s="56">
        <v>180803</v>
      </c>
      <c r="L65" s="56">
        <v>28483</v>
      </c>
      <c r="M65" s="56">
        <v>160</v>
      </c>
      <c r="N65" s="56">
        <v>50</v>
      </c>
      <c r="O65" s="55">
        <f t="shared" si="2"/>
        <v>42826</v>
      </c>
      <c r="P65" s="57">
        <f t="shared" si="0"/>
        <v>27363.515810468001</v>
      </c>
    </row>
    <row r="66" spans="5:18" x14ac:dyDescent="0.25">
      <c r="E66" s="54">
        <v>42856</v>
      </c>
      <c r="F66" s="56">
        <v>4426660</v>
      </c>
      <c r="G66" s="56">
        <f t="shared" si="3"/>
        <v>45313.177517160002</v>
      </c>
      <c r="H66" s="56">
        <v>3769445</v>
      </c>
      <c r="I66" s="56">
        <f t="shared" si="1"/>
        <v>12861.881601189998</v>
      </c>
      <c r="J66" s="56">
        <v>1827</v>
      </c>
      <c r="K66" s="56">
        <v>226939</v>
      </c>
      <c r="L66" s="56">
        <v>32184</v>
      </c>
      <c r="M66" s="56">
        <v>72</v>
      </c>
      <c r="N66" s="56">
        <v>95</v>
      </c>
      <c r="O66" s="55">
        <f t="shared" si="2"/>
        <v>42856</v>
      </c>
      <c r="P66" s="57">
        <f t="shared" si="0"/>
        <v>27966.274106910001</v>
      </c>
    </row>
    <row r="67" spans="5:18" x14ac:dyDescent="0.25">
      <c r="E67" s="54">
        <v>42887</v>
      </c>
      <c r="F67" s="56">
        <v>5320647</v>
      </c>
      <c r="G67" s="56">
        <f t="shared" si="3"/>
        <v>54464.409287622009</v>
      </c>
      <c r="H67" s="56">
        <v>2675090</v>
      </c>
      <c r="I67" s="56">
        <f t="shared" si="1"/>
        <v>9127.7869427799997</v>
      </c>
      <c r="J67" s="56">
        <v>1878</v>
      </c>
      <c r="K67" s="56">
        <v>236596</v>
      </c>
      <c r="L67" s="56">
        <v>44474.016706234375</v>
      </c>
      <c r="M67" s="56">
        <v>2</v>
      </c>
      <c r="N67" s="56">
        <v>237</v>
      </c>
      <c r="O67" s="55">
        <f t="shared" si="2"/>
        <v>42887</v>
      </c>
      <c r="P67" s="57">
        <f t="shared" si="0"/>
        <v>27282.590038654002</v>
      </c>
    </row>
    <row r="68" spans="5:18" x14ac:dyDescent="0.25">
      <c r="E68" s="54">
        <v>42917</v>
      </c>
      <c r="F68" s="56">
        <v>5913117</v>
      </c>
      <c r="G68" s="56">
        <f t="shared" si="3"/>
        <v>60529.184599841996</v>
      </c>
      <c r="H68" s="56">
        <v>2046312</v>
      </c>
      <c r="I68" s="56">
        <f t="shared" si="1"/>
        <v>6982.3071203039999</v>
      </c>
      <c r="J68" s="56">
        <v>1620</v>
      </c>
      <c r="K68" s="56">
        <v>207232</v>
      </c>
      <c r="L68" s="56">
        <v>32274</v>
      </c>
      <c r="M68" s="56">
        <v>0</v>
      </c>
      <c r="N68" s="56">
        <v>389</v>
      </c>
      <c r="O68" s="55">
        <f t="shared" si="2"/>
        <v>42917</v>
      </c>
      <c r="P68" s="57">
        <f t="shared" si="0"/>
        <v>27158.701986918</v>
      </c>
    </row>
    <row r="69" spans="5:18" x14ac:dyDescent="0.25">
      <c r="E69" s="54">
        <v>42948</v>
      </c>
      <c r="F69" s="56">
        <v>6029935</v>
      </c>
      <c r="G69" s="56">
        <f t="shared" si="3"/>
        <v>61724.983412310001</v>
      </c>
      <c r="H69" s="56">
        <v>2523023</v>
      </c>
      <c r="I69" s="56">
        <f t="shared" si="1"/>
        <v>8608.9127452659995</v>
      </c>
      <c r="J69" s="56">
        <v>1888</v>
      </c>
      <c r="K69" s="56">
        <v>241509</v>
      </c>
      <c r="L69" s="56">
        <v>34841</v>
      </c>
      <c r="M69" s="56">
        <v>0</v>
      </c>
      <c r="N69" s="56">
        <v>260</v>
      </c>
      <c r="O69" s="55">
        <f t="shared" si="2"/>
        <v>42948</v>
      </c>
      <c r="P69" s="57">
        <f t="shared" si="0"/>
        <v>29183.907216036001</v>
      </c>
    </row>
    <row r="70" spans="5:18" x14ac:dyDescent="0.25">
      <c r="E70" s="54">
        <v>42979</v>
      </c>
      <c r="F70" s="56">
        <v>5337856</v>
      </c>
      <c r="G70" s="56">
        <f t="shared" si="3"/>
        <v>54640.567942655995</v>
      </c>
      <c r="H70" s="56">
        <v>3130119</v>
      </c>
      <c r="I70" s="56">
        <f t="shared" si="1"/>
        <v>10680.410504897998</v>
      </c>
      <c r="J70" s="56">
        <v>1607</v>
      </c>
      <c r="K70" s="56">
        <v>212234</v>
      </c>
      <c r="L70" s="56">
        <v>24618</v>
      </c>
      <c r="M70" s="56">
        <v>41</v>
      </c>
      <c r="N70" s="56">
        <v>121</v>
      </c>
      <c r="O70" s="55">
        <f t="shared" si="2"/>
        <v>42979</v>
      </c>
      <c r="P70" s="57">
        <f t="shared" si="0"/>
        <v>28893.933152449998</v>
      </c>
    </row>
    <row r="71" spans="5:18" ht="15.75" x14ac:dyDescent="0.25">
      <c r="E71" s="54">
        <v>43009</v>
      </c>
      <c r="F71" s="56">
        <v>4837630</v>
      </c>
      <c r="G71" s="56">
        <f t="shared" si="3"/>
        <v>49520.041510380004</v>
      </c>
      <c r="H71" s="56">
        <v>4564940</v>
      </c>
      <c r="I71" s="56">
        <f t="shared" si="1"/>
        <v>15576.223501479999</v>
      </c>
      <c r="J71" s="56">
        <v>1743</v>
      </c>
      <c r="K71" s="56">
        <v>222366</v>
      </c>
      <c r="L71" s="56">
        <v>32472</v>
      </c>
      <c r="M71" s="56">
        <v>232</v>
      </c>
      <c r="N71" s="56">
        <v>50</v>
      </c>
      <c r="O71" s="55">
        <f t="shared" si="2"/>
        <v>43009</v>
      </c>
      <c r="P71" s="57">
        <f t="shared" si="0"/>
        <v>32082.904004939999</v>
      </c>
      <c r="Q71" s="174" t="s">
        <v>169</v>
      </c>
      <c r="R71" s="174" t="s">
        <v>169</v>
      </c>
    </row>
    <row r="72" spans="5:18" ht="15.75" x14ac:dyDescent="0.25">
      <c r="E72" s="54">
        <v>43040</v>
      </c>
      <c r="F72" s="56">
        <v>3941820</v>
      </c>
      <c r="G72" s="56">
        <f t="shared" si="3"/>
        <v>40350.148735319999</v>
      </c>
      <c r="H72" s="56">
        <v>6528333</v>
      </c>
      <c r="I72" s="56">
        <f t="shared" si="1"/>
        <v>22275.599219285999</v>
      </c>
      <c r="J72" s="56">
        <v>1503</v>
      </c>
      <c r="K72" s="56">
        <v>196708</v>
      </c>
      <c r="L72" s="56">
        <v>28834</v>
      </c>
      <c r="M72" s="56">
        <v>554</v>
      </c>
      <c r="N72" s="56">
        <v>0</v>
      </c>
      <c r="O72" s="55">
        <f t="shared" si="2"/>
        <v>43040</v>
      </c>
      <c r="P72" s="57">
        <f t="shared" si="0"/>
        <v>35725.648797725997</v>
      </c>
      <c r="Q72" s="175" t="s">
        <v>1054</v>
      </c>
      <c r="R72" s="175" t="s">
        <v>1047</v>
      </c>
    </row>
    <row r="73" spans="5:18" ht="16.5" thickBot="1" x14ac:dyDescent="0.3">
      <c r="E73" s="72">
        <v>43070</v>
      </c>
      <c r="F73" s="73">
        <v>3524584.83</v>
      </c>
      <c r="G73" s="73">
        <f t="shared" si="3"/>
        <v>36079.151793017576</v>
      </c>
      <c r="H73" s="73">
        <v>7429308</v>
      </c>
      <c r="I73" s="73">
        <f t="shared" si="1"/>
        <v>25349.853857736001</v>
      </c>
      <c r="J73" s="73">
        <v>1189</v>
      </c>
      <c r="K73" s="73">
        <v>167211</v>
      </c>
      <c r="L73" s="73">
        <v>19896</v>
      </c>
      <c r="M73" s="73">
        <v>787</v>
      </c>
      <c r="N73" s="73">
        <v>0</v>
      </c>
      <c r="O73" s="74">
        <f t="shared" si="2"/>
        <v>43070</v>
      </c>
      <c r="P73" s="57">
        <f t="shared" si="0"/>
        <v>37376.237788741862</v>
      </c>
      <c r="Q73" s="177">
        <f>SUM(F62:F73)</f>
        <v>54520343.829999998</v>
      </c>
      <c r="R73" s="176">
        <f>SUM(I62:I73)</f>
        <v>204613.39091677801</v>
      </c>
    </row>
    <row r="74" spans="5:18" x14ac:dyDescent="0.25">
      <c r="E74" s="69">
        <v>43101</v>
      </c>
      <c r="F74" s="70">
        <v>3439105.67</v>
      </c>
      <c r="G74" s="70">
        <f t="shared" si="3"/>
        <v>35204.150697135417</v>
      </c>
      <c r="H74" s="70">
        <v>12166825</v>
      </c>
      <c r="I74" s="70">
        <f t="shared" si="1"/>
        <v>41514.934589149998</v>
      </c>
      <c r="J74" s="70">
        <v>1681</v>
      </c>
      <c r="K74" s="70">
        <v>228005</v>
      </c>
      <c r="L74" s="70">
        <v>28654</v>
      </c>
      <c r="M74" s="70">
        <v>1024</v>
      </c>
      <c r="N74" s="70">
        <v>0</v>
      </c>
      <c r="O74" s="71">
        <f t="shared" si="2"/>
        <v>43101</v>
      </c>
      <c r="P74" s="57">
        <f t="shared" si="0"/>
        <v>53249.651488195137</v>
      </c>
    </row>
    <row r="75" spans="5:18" x14ac:dyDescent="0.25">
      <c r="E75" s="54">
        <v>43132</v>
      </c>
      <c r="F75" s="56">
        <v>3453525.9</v>
      </c>
      <c r="G75" s="56">
        <f t="shared" si="3"/>
        <v>35351.762314433392</v>
      </c>
      <c r="H75" s="56">
        <v>6183472</v>
      </c>
      <c r="I75" s="56">
        <f t="shared" si="1"/>
        <v>21098.884517023998</v>
      </c>
      <c r="J75" s="56">
        <v>1698</v>
      </c>
      <c r="K75" s="56">
        <v>232834</v>
      </c>
      <c r="L75" s="56">
        <v>24535</v>
      </c>
      <c r="M75" s="56">
        <v>492</v>
      </c>
      <c r="N75" s="56">
        <v>1</v>
      </c>
      <c r="O75" s="55">
        <f t="shared" si="2"/>
        <v>43132</v>
      </c>
      <c r="P75" s="57">
        <f t="shared" si="0"/>
        <v>32882.805288501797</v>
      </c>
    </row>
    <row r="76" spans="5:18" x14ac:dyDescent="0.25">
      <c r="E76" s="54">
        <v>43160</v>
      </c>
      <c r="F76" s="56">
        <v>3912945.94</v>
      </c>
      <c r="G76" s="56">
        <f t="shared" si="3"/>
        <v>40054.581556810437</v>
      </c>
      <c r="H76" s="56">
        <v>7914223</v>
      </c>
      <c r="I76" s="56">
        <f t="shared" si="1"/>
        <v>27004.452695666001</v>
      </c>
      <c r="J76" s="56">
        <v>1728</v>
      </c>
      <c r="K76" s="56">
        <v>279410</v>
      </c>
      <c r="L76" s="56">
        <v>31346</v>
      </c>
      <c r="M76" s="56">
        <v>651</v>
      </c>
      <c r="N76" s="56">
        <v>1</v>
      </c>
      <c r="O76" s="55">
        <f t="shared" si="2"/>
        <v>43160</v>
      </c>
      <c r="P76" s="57">
        <f t="shared" si="0"/>
        <v>40355.979881269479</v>
      </c>
    </row>
    <row r="77" spans="5:18" x14ac:dyDescent="0.25">
      <c r="E77" s="54">
        <v>43191</v>
      </c>
      <c r="F77" s="56">
        <v>4304298.05</v>
      </c>
      <c r="G77" s="56">
        <f t="shared" si="3"/>
        <v>44060.628470769298</v>
      </c>
      <c r="H77" s="56">
        <v>4924451</v>
      </c>
      <c r="I77" s="56">
        <f t="shared" si="1"/>
        <v>16802.926084041999</v>
      </c>
      <c r="J77" s="56">
        <v>1812</v>
      </c>
      <c r="K77" s="56">
        <v>324422</v>
      </c>
      <c r="L77" s="56">
        <v>38883</v>
      </c>
      <c r="M77" s="56">
        <v>322</v>
      </c>
      <c r="N77" s="56">
        <v>7</v>
      </c>
      <c r="O77" s="55">
        <f t="shared" si="2"/>
        <v>43191</v>
      </c>
      <c r="P77" s="57">
        <f t="shared" si="0"/>
        <v>31489.802240965098</v>
      </c>
    </row>
    <row r="78" spans="5:18" x14ac:dyDescent="0.25">
      <c r="E78" s="54">
        <v>43221</v>
      </c>
      <c r="F78" s="56">
        <v>5625730.2999999998</v>
      </c>
      <c r="G78" s="56">
        <f t="shared" si="3"/>
        <v>57587.371911907794</v>
      </c>
      <c r="H78" s="56">
        <v>3406125</v>
      </c>
      <c r="I78" s="56">
        <f t="shared" si="1"/>
        <v>11622.18216975</v>
      </c>
      <c r="J78" s="56">
        <v>2394</v>
      </c>
      <c r="K78" s="56">
        <v>363803</v>
      </c>
      <c r="L78" s="56">
        <v>44025</v>
      </c>
      <c r="M78" s="56">
        <v>20</v>
      </c>
      <c r="N78" s="56">
        <v>201</v>
      </c>
      <c r="O78" s="55">
        <f t="shared" si="2"/>
        <v>43221</v>
      </c>
      <c r="P78" s="57">
        <f t="shared" si="0"/>
        <v>30817.972807052596</v>
      </c>
    </row>
    <row r="79" spans="5:18" x14ac:dyDescent="0.25">
      <c r="E79" s="54">
        <v>43252</v>
      </c>
      <c r="F79" s="56">
        <v>6320328.6900000004</v>
      </c>
      <c r="G79" s="56">
        <f t="shared" si="3"/>
        <v>64697.576930861935</v>
      </c>
      <c r="H79" s="56">
        <v>2725486</v>
      </c>
      <c r="I79" s="56">
        <f t="shared" ref="I79:I109" si="4">H79*3412.142/1000000</f>
        <v>9299.7452510119983</v>
      </c>
      <c r="J79" s="56">
        <v>1800</v>
      </c>
      <c r="K79" s="56">
        <v>361835</v>
      </c>
      <c r="L79" s="56">
        <v>44474</v>
      </c>
      <c r="M79" s="56">
        <v>0</v>
      </c>
      <c r="N79" s="56">
        <v>324</v>
      </c>
      <c r="O79" s="55">
        <f t="shared" ref="O79:O133" si="5">E79</f>
        <v>43252</v>
      </c>
      <c r="P79" s="57">
        <f t="shared" ref="P79:P133" si="6">(G79/3)+I79</f>
        <v>30865.604227965978</v>
      </c>
    </row>
    <row r="80" spans="5:18" x14ac:dyDescent="0.25">
      <c r="E80" s="54">
        <v>43282</v>
      </c>
      <c r="F80" s="56">
        <v>6811817.9900000002</v>
      </c>
      <c r="G80" s="56">
        <f t="shared" ref="G80:G109" si="7">F80*3412.142/1000000*3</f>
        <v>69728.670780103741</v>
      </c>
      <c r="H80" s="56">
        <v>2279247</v>
      </c>
      <c r="I80" s="56">
        <f t="shared" si="4"/>
        <v>7777.114417073999</v>
      </c>
      <c r="J80" s="56">
        <v>1606</v>
      </c>
      <c r="K80" s="56">
        <v>356749</v>
      </c>
      <c r="L80" s="56">
        <v>35692</v>
      </c>
      <c r="M80" s="56">
        <v>0</v>
      </c>
      <c r="N80" s="56">
        <v>370</v>
      </c>
      <c r="O80" s="55">
        <f t="shared" si="5"/>
        <v>43282</v>
      </c>
      <c r="P80" s="57">
        <f t="shared" si="6"/>
        <v>31020.004677108576</v>
      </c>
    </row>
    <row r="81" spans="5:18" x14ac:dyDescent="0.25">
      <c r="E81" s="54">
        <v>43313</v>
      </c>
      <c r="F81" s="56">
        <v>6822148.75</v>
      </c>
      <c r="G81" s="56">
        <f t="shared" si="7"/>
        <v>69834.4208403675</v>
      </c>
      <c r="H81" s="56">
        <v>3001785</v>
      </c>
      <c r="I81" s="56">
        <f t="shared" si="4"/>
        <v>10242.51667347</v>
      </c>
      <c r="J81" s="56">
        <v>2148</v>
      </c>
      <c r="K81" s="56">
        <v>395020</v>
      </c>
      <c r="L81" s="56">
        <v>43758</v>
      </c>
      <c r="M81" s="56">
        <v>0</v>
      </c>
      <c r="N81" s="56">
        <v>338</v>
      </c>
      <c r="O81" s="55">
        <f t="shared" si="5"/>
        <v>43313</v>
      </c>
      <c r="P81" s="57">
        <f t="shared" si="6"/>
        <v>33520.656953592501</v>
      </c>
    </row>
    <row r="82" spans="5:18" x14ac:dyDescent="0.25">
      <c r="E82" s="54">
        <v>43344</v>
      </c>
      <c r="F82" s="56">
        <v>6471340.71</v>
      </c>
      <c r="G82" s="56">
        <f t="shared" si="7"/>
        <v>66243.400298702443</v>
      </c>
      <c r="H82" s="56">
        <v>2947287</v>
      </c>
      <c r="I82" s="56">
        <f t="shared" si="4"/>
        <v>10056.561758754</v>
      </c>
      <c r="J82" s="56">
        <v>1807</v>
      </c>
      <c r="K82" s="56">
        <v>343189</v>
      </c>
      <c r="L82" s="56">
        <v>37819</v>
      </c>
      <c r="M82" s="56">
        <v>0</v>
      </c>
      <c r="N82" s="56">
        <v>291</v>
      </c>
      <c r="O82" s="55">
        <f t="shared" si="5"/>
        <v>43344</v>
      </c>
      <c r="P82" s="57">
        <f t="shared" si="6"/>
        <v>32137.695191654813</v>
      </c>
    </row>
    <row r="83" spans="5:18" ht="15.75" x14ac:dyDescent="0.25">
      <c r="E83" s="54">
        <v>43374</v>
      </c>
      <c r="F83" s="56">
        <v>5897388.4100000001</v>
      </c>
      <c r="G83" s="56">
        <f t="shared" si="7"/>
        <v>60368.180052222655</v>
      </c>
      <c r="H83" s="56">
        <v>6707942</v>
      </c>
      <c r="I83" s="56">
        <f t="shared" si="4"/>
        <v>22888.450631764001</v>
      </c>
      <c r="J83" s="56">
        <v>2767</v>
      </c>
      <c r="K83" s="56">
        <v>431497</v>
      </c>
      <c r="L83" s="56">
        <v>52855</v>
      </c>
      <c r="M83" s="56">
        <v>243</v>
      </c>
      <c r="N83" s="56">
        <v>90</v>
      </c>
      <c r="O83" s="55">
        <f t="shared" si="5"/>
        <v>43374</v>
      </c>
      <c r="P83" s="57">
        <f t="shared" si="6"/>
        <v>43011.17731583822</v>
      </c>
      <c r="Q83" s="174" t="s">
        <v>169</v>
      </c>
      <c r="R83" s="174" t="s">
        <v>169</v>
      </c>
    </row>
    <row r="84" spans="5:18" ht="15.75" x14ac:dyDescent="0.25">
      <c r="E84" s="54">
        <v>43405</v>
      </c>
      <c r="F84" s="56">
        <v>4659986.07</v>
      </c>
      <c r="G84" s="56">
        <f t="shared" si="7"/>
        <v>47701.602566585818</v>
      </c>
      <c r="H84" s="56">
        <v>10385385</v>
      </c>
      <c r="I84" s="56">
        <f t="shared" si="4"/>
        <v>35436.408344669995</v>
      </c>
      <c r="J84" s="56">
        <v>2381</v>
      </c>
      <c r="K84" s="56">
        <v>387041</v>
      </c>
      <c r="L84" s="56">
        <v>53565</v>
      </c>
      <c r="M84" s="56">
        <v>621</v>
      </c>
      <c r="N84" s="56">
        <v>0</v>
      </c>
      <c r="O84" s="55">
        <f t="shared" si="5"/>
        <v>43405</v>
      </c>
      <c r="P84" s="57">
        <f t="shared" si="6"/>
        <v>51336.942533531932</v>
      </c>
      <c r="Q84" s="175" t="s">
        <v>1054</v>
      </c>
      <c r="R84" s="175" t="s">
        <v>1047</v>
      </c>
    </row>
    <row r="85" spans="5:18" ht="16.5" thickBot="1" x14ac:dyDescent="0.3">
      <c r="E85" s="72">
        <v>43435</v>
      </c>
      <c r="F85" s="73">
        <v>4270928.59</v>
      </c>
      <c r="G85" s="73">
        <f t="shared" si="7"/>
        <v>43719.044462819336</v>
      </c>
      <c r="H85" s="73">
        <v>10097952</v>
      </c>
      <c r="I85" s="73">
        <f t="shared" si="4"/>
        <v>34455.646133183996</v>
      </c>
      <c r="J85" s="73">
        <v>1590</v>
      </c>
      <c r="K85" s="73">
        <v>313053</v>
      </c>
      <c r="L85" s="73">
        <v>23627</v>
      </c>
      <c r="M85" s="73">
        <v>760</v>
      </c>
      <c r="N85" s="73">
        <v>0</v>
      </c>
      <c r="O85" s="74">
        <f t="shared" si="5"/>
        <v>43435</v>
      </c>
      <c r="P85" s="57">
        <f t="shared" si="6"/>
        <v>49028.660954123778</v>
      </c>
      <c r="Q85" s="177">
        <f>SUM(F74:F85)</f>
        <v>61989545.069999993</v>
      </c>
      <c r="R85" s="176">
        <f>SUM(I74:I85)</f>
        <v>248199.82326555994</v>
      </c>
    </row>
    <row r="86" spans="5:18" x14ac:dyDescent="0.25">
      <c r="E86" s="69">
        <v>43466</v>
      </c>
      <c r="F86" s="70">
        <v>4259273.03</v>
      </c>
      <c r="G86" s="70">
        <f t="shared" si="7"/>
        <v>43599.733185390782</v>
      </c>
      <c r="H86" s="70">
        <f>293*45907</f>
        <v>13450751</v>
      </c>
      <c r="I86" s="70">
        <f t="shared" si="4"/>
        <v>45895.872418642</v>
      </c>
      <c r="J86" s="70">
        <v>2267</v>
      </c>
      <c r="K86" s="70">
        <v>397881.65000006824</v>
      </c>
      <c r="L86" s="70">
        <v>44784</v>
      </c>
      <c r="M86" s="70">
        <v>779</v>
      </c>
      <c r="N86" s="70">
        <v>0</v>
      </c>
      <c r="O86" s="71">
        <f t="shared" si="5"/>
        <v>43466</v>
      </c>
      <c r="P86" s="57">
        <f t="shared" si="6"/>
        <v>60429.116813772263</v>
      </c>
    </row>
    <row r="87" spans="5:18" x14ac:dyDescent="0.25">
      <c r="E87" s="54">
        <v>43497</v>
      </c>
      <c r="F87" s="56">
        <v>4544952.29</v>
      </c>
      <c r="G87" s="56">
        <f t="shared" si="7"/>
        <v>46524.067790115536</v>
      </c>
      <c r="H87" s="56">
        <f>293*33070</f>
        <v>9689510</v>
      </c>
      <c r="I87" s="56">
        <f t="shared" si="4"/>
        <v>33061.984030419997</v>
      </c>
      <c r="J87" s="56">
        <v>2374</v>
      </c>
      <c r="K87" s="56">
        <v>367810.95000007981</v>
      </c>
      <c r="L87" s="56">
        <v>38542</v>
      </c>
      <c r="M87" s="56">
        <v>580</v>
      </c>
      <c r="N87" s="56">
        <v>4</v>
      </c>
      <c r="O87" s="55">
        <f t="shared" si="5"/>
        <v>43497</v>
      </c>
      <c r="P87" s="57">
        <f t="shared" si="6"/>
        <v>48570.006627125178</v>
      </c>
    </row>
    <row r="88" spans="5:18" x14ac:dyDescent="0.25">
      <c r="E88" s="54">
        <v>43525</v>
      </c>
      <c r="F88" s="56">
        <v>5137117.66</v>
      </c>
      <c r="G88" s="56">
        <f t="shared" si="7"/>
        <v>52585.724779883159</v>
      </c>
      <c r="H88" s="56">
        <f>293*36316</f>
        <v>10640588</v>
      </c>
      <c r="I88" s="56">
        <f t="shared" si="4"/>
        <v>36307.197219495996</v>
      </c>
      <c r="J88" s="56">
        <v>2588</v>
      </c>
      <c r="K88" s="56">
        <v>382708.00999996933</v>
      </c>
      <c r="L88" s="56">
        <v>56905</v>
      </c>
      <c r="M88" s="56">
        <v>601</v>
      </c>
      <c r="N88" s="56">
        <v>0</v>
      </c>
      <c r="O88" s="55">
        <f t="shared" si="5"/>
        <v>43525</v>
      </c>
      <c r="P88" s="57">
        <f t="shared" si="6"/>
        <v>53835.772146123716</v>
      </c>
    </row>
    <row r="89" spans="5:18" x14ac:dyDescent="0.25">
      <c r="E89" s="54">
        <v>43556</v>
      </c>
      <c r="F89" s="56">
        <v>5327516.18</v>
      </c>
      <c r="G89" s="56">
        <f t="shared" si="7"/>
        <v>54534.725140372677</v>
      </c>
      <c r="H89" s="56">
        <f>293*20642</f>
        <v>6048106</v>
      </c>
      <c r="I89" s="56">
        <f t="shared" si="4"/>
        <v>20636.996503052</v>
      </c>
      <c r="J89" s="56">
        <v>2436</v>
      </c>
      <c r="K89" s="56">
        <v>362251.4800000395</v>
      </c>
      <c r="L89" s="56">
        <v>46157</v>
      </c>
      <c r="M89" s="56">
        <v>210</v>
      </c>
      <c r="N89" s="56">
        <v>24</v>
      </c>
      <c r="O89" s="55">
        <f t="shared" si="5"/>
        <v>43556</v>
      </c>
      <c r="P89" s="57">
        <f t="shared" si="6"/>
        <v>38815.238216509562</v>
      </c>
    </row>
    <row r="90" spans="5:18" x14ac:dyDescent="0.25">
      <c r="E90" s="54">
        <v>43586</v>
      </c>
      <c r="F90" s="56">
        <v>6146168.6500000004</v>
      </c>
      <c r="G90" s="56">
        <f t="shared" si="7"/>
        <v>62914.800569244901</v>
      </c>
      <c r="H90" s="56">
        <f>293*13495</f>
        <v>3954035</v>
      </c>
      <c r="I90" s="56">
        <f t="shared" si="4"/>
        <v>13491.728892969999</v>
      </c>
      <c r="J90" s="56">
        <v>2560</v>
      </c>
      <c r="K90" s="56">
        <v>373759.47000004165</v>
      </c>
      <c r="L90" s="56">
        <v>50406</v>
      </c>
      <c r="M90" s="56">
        <v>26</v>
      </c>
      <c r="N90" s="56">
        <v>192</v>
      </c>
      <c r="O90" s="55">
        <f t="shared" si="5"/>
        <v>43586</v>
      </c>
      <c r="P90" s="57">
        <f t="shared" si="6"/>
        <v>34463.329082718301</v>
      </c>
    </row>
    <row r="91" spans="5:18" x14ac:dyDescent="0.25">
      <c r="E91" s="54">
        <v>43617</v>
      </c>
      <c r="F91" s="56">
        <v>6367530.1399999997</v>
      </c>
      <c r="G91" s="56">
        <f t="shared" si="7"/>
        <v>65180.751080879629</v>
      </c>
      <c r="H91" s="56">
        <f>293*10541</f>
        <v>3088513</v>
      </c>
      <c r="I91" s="56">
        <f t="shared" si="4"/>
        <v>10538.444924845999</v>
      </c>
      <c r="J91" s="56">
        <v>2044</v>
      </c>
      <c r="K91" s="56">
        <v>305405.41000006977</v>
      </c>
      <c r="L91" s="56">
        <v>32492</v>
      </c>
      <c r="M91" s="56">
        <v>1</v>
      </c>
      <c r="N91" s="56">
        <v>226</v>
      </c>
      <c r="O91" s="55">
        <f t="shared" si="5"/>
        <v>43617</v>
      </c>
      <c r="P91" s="57">
        <f t="shared" si="6"/>
        <v>32265.361951805877</v>
      </c>
    </row>
    <row r="92" spans="5:18" x14ac:dyDescent="0.25">
      <c r="E92" s="54">
        <v>43647</v>
      </c>
      <c r="F92" s="56">
        <v>6937601.0700000003</v>
      </c>
      <c r="G92" s="56">
        <f t="shared" si="7"/>
        <v>71016.239970575829</v>
      </c>
      <c r="H92" s="56">
        <f>8234*293</f>
        <v>2412562</v>
      </c>
      <c r="I92" s="56">
        <f t="shared" si="4"/>
        <v>8232.0041278040007</v>
      </c>
      <c r="J92" s="56">
        <v>2175</v>
      </c>
      <c r="K92" s="56">
        <v>320463.40000006679</v>
      </c>
      <c r="L92" s="56">
        <v>45336</v>
      </c>
      <c r="M92" s="56">
        <v>0</v>
      </c>
      <c r="N92" s="56">
        <v>405</v>
      </c>
      <c r="O92" s="55">
        <f t="shared" si="5"/>
        <v>43647</v>
      </c>
      <c r="P92" s="57">
        <f t="shared" si="6"/>
        <v>31904.084117995943</v>
      </c>
    </row>
    <row r="93" spans="5:18" x14ac:dyDescent="0.25">
      <c r="E93" s="54">
        <v>43678</v>
      </c>
      <c r="F93" s="56">
        <v>6938641.0499999998</v>
      </c>
      <c r="G93" s="56">
        <f t="shared" si="7"/>
        <v>71026.885648887299</v>
      </c>
      <c r="H93" s="56">
        <f>293*9422</f>
        <v>2760646</v>
      </c>
      <c r="I93" s="56">
        <f t="shared" si="4"/>
        <v>9419.7161637320005</v>
      </c>
      <c r="J93" s="56">
        <v>2253</v>
      </c>
      <c r="K93" s="56">
        <v>334384.48000005208</v>
      </c>
      <c r="L93" s="56">
        <v>38273</v>
      </c>
      <c r="M93" s="56">
        <v>2</v>
      </c>
      <c r="N93" s="56">
        <v>325</v>
      </c>
      <c r="O93" s="55">
        <f t="shared" si="5"/>
        <v>43678</v>
      </c>
      <c r="P93" s="57">
        <f t="shared" si="6"/>
        <v>33095.344713361097</v>
      </c>
    </row>
    <row r="94" spans="5:18" x14ac:dyDescent="0.25">
      <c r="E94" s="54">
        <v>43709</v>
      </c>
      <c r="F94" s="56">
        <v>6206459.54</v>
      </c>
      <c r="G94" s="56">
        <f t="shared" si="7"/>
        <v>63531.963803204046</v>
      </c>
      <c r="H94" s="56">
        <v>2368319</v>
      </c>
      <c r="I94" s="56">
        <f t="shared" si="4"/>
        <v>8081.040729297999</v>
      </c>
      <c r="J94" s="56">
        <v>2062</v>
      </c>
      <c r="K94" s="56">
        <v>299553.4300000713</v>
      </c>
      <c r="L94" s="56">
        <v>41179</v>
      </c>
      <c r="M94" s="56">
        <v>8</v>
      </c>
      <c r="N94" s="56">
        <v>285</v>
      </c>
      <c r="O94" s="55">
        <f t="shared" si="5"/>
        <v>43709</v>
      </c>
      <c r="P94" s="57">
        <f t="shared" si="6"/>
        <v>29258.36199703268</v>
      </c>
    </row>
    <row r="95" spans="5:18" ht="15.75" x14ac:dyDescent="0.25">
      <c r="E95" s="54">
        <v>43739</v>
      </c>
      <c r="F95" s="56">
        <v>5299505.1399999997</v>
      </c>
      <c r="G95" s="56">
        <f t="shared" si="7"/>
        <v>54247.992202229638</v>
      </c>
      <c r="H95" s="56">
        <v>4577246</v>
      </c>
      <c r="I95" s="56">
        <f t="shared" si="4"/>
        <v>15618.213320932</v>
      </c>
      <c r="J95" s="56">
        <v>1794</v>
      </c>
      <c r="K95" s="56">
        <v>284797.84000009269</v>
      </c>
      <c r="L95" s="56">
        <v>39458</v>
      </c>
      <c r="M95" s="56">
        <v>161</v>
      </c>
      <c r="N95" s="56">
        <v>75</v>
      </c>
      <c r="O95" s="55">
        <f t="shared" si="5"/>
        <v>43739</v>
      </c>
      <c r="P95" s="57">
        <f t="shared" si="6"/>
        <v>33700.877388341876</v>
      </c>
      <c r="Q95" s="174" t="s">
        <v>169</v>
      </c>
      <c r="R95" s="174" t="s">
        <v>169</v>
      </c>
    </row>
    <row r="96" spans="5:18" ht="15.75" x14ac:dyDescent="0.25">
      <c r="E96" s="54">
        <v>43770</v>
      </c>
      <c r="F96" s="56">
        <v>3974166.29</v>
      </c>
      <c r="G96" s="56">
        <f t="shared" si="7"/>
        <v>40681.259139279537</v>
      </c>
      <c r="H96" s="56">
        <v>7651402</v>
      </c>
      <c r="I96" s="56">
        <f t="shared" si="4"/>
        <v>26107.670123084001</v>
      </c>
      <c r="J96" s="56">
        <v>1404</v>
      </c>
      <c r="K96" s="56">
        <v>202238.94000002247</v>
      </c>
      <c r="L96" s="56">
        <v>29083</v>
      </c>
      <c r="M96" s="56">
        <v>627</v>
      </c>
      <c r="N96" s="56">
        <v>0</v>
      </c>
      <c r="O96" s="55">
        <f t="shared" si="5"/>
        <v>43770</v>
      </c>
      <c r="P96" s="57">
        <f t="shared" si="6"/>
        <v>39668.089836177183</v>
      </c>
      <c r="Q96" s="175" t="s">
        <v>1054</v>
      </c>
      <c r="R96" s="175" t="s">
        <v>1047</v>
      </c>
    </row>
    <row r="97" spans="5:18" ht="16.5" thickBot="1" x14ac:dyDescent="0.3">
      <c r="E97" s="72">
        <v>43800</v>
      </c>
      <c r="F97" s="73">
        <v>3640532.63</v>
      </c>
      <c r="G97" s="73">
        <f t="shared" si="7"/>
        <v>37266.042867580378</v>
      </c>
      <c r="H97" s="73">
        <v>7909828</v>
      </c>
      <c r="I97" s="73">
        <f t="shared" si="4"/>
        <v>26989.456331575999</v>
      </c>
      <c r="J97" s="73">
        <v>1248</v>
      </c>
      <c r="K97" s="73">
        <v>176427.35000003781</v>
      </c>
      <c r="L97" s="73">
        <v>23599</v>
      </c>
      <c r="M97" s="73">
        <v>699</v>
      </c>
      <c r="N97" s="73">
        <v>0</v>
      </c>
      <c r="O97" s="74">
        <f t="shared" si="5"/>
        <v>43800</v>
      </c>
      <c r="P97" s="57">
        <f t="shared" si="6"/>
        <v>39411.470620769454</v>
      </c>
      <c r="Q97" s="220">
        <f>SUM(F86:F97)</f>
        <v>64779463.670000002</v>
      </c>
      <c r="R97" s="228">
        <f>SUM(I86:I97)</f>
        <v>254380.32478585199</v>
      </c>
    </row>
    <row r="98" spans="5:18" x14ac:dyDescent="0.25">
      <c r="E98" s="69">
        <v>43831</v>
      </c>
      <c r="F98" s="70">
        <v>3546853.24</v>
      </c>
      <c r="G98" s="70">
        <f t="shared" si="7"/>
        <v>36307.100724120246</v>
      </c>
      <c r="H98" s="70">
        <v>10136628</v>
      </c>
      <c r="I98" s="70">
        <f t="shared" si="4"/>
        <v>34587.614137175995</v>
      </c>
      <c r="J98" s="70">
        <v>1716</v>
      </c>
      <c r="K98" s="70">
        <v>237911</v>
      </c>
      <c r="L98" s="70">
        <v>37755</v>
      </c>
      <c r="M98" s="70">
        <v>708</v>
      </c>
      <c r="N98" s="70">
        <v>0</v>
      </c>
      <c r="O98" s="71">
        <f t="shared" si="5"/>
        <v>43831</v>
      </c>
      <c r="P98" s="57">
        <f t="shared" si="6"/>
        <v>46689.981045216075</v>
      </c>
    </row>
    <row r="99" spans="5:18" x14ac:dyDescent="0.25">
      <c r="E99" s="54">
        <v>43862</v>
      </c>
      <c r="F99" s="56">
        <v>3851758.86</v>
      </c>
      <c r="G99" s="56">
        <f t="shared" si="7"/>
        <v>39428.244540234358</v>
      </c>
      <c r="H99" s="56">
        <v>8477662</v>
      </c>
      <c r="I99" s="70">
        <f t="shared" si="4"/>
        <v>28926.986572003996</v>
      </c>
      <c r="J99" s="56">
        <v>1557</v>
      </c>
      <c r="K99" s="56">
        <v>215393</v>
      </c>
      <c r="L99" s="56">
        <v>38585</v>
      </c>
      <c r="M99" s="56">
        <v>625</v>
      </c>
      <c r="N99" s="56">
        <v>0</v>
      </c>
      <c r="O99" s="55">
        <f t="shared" si="5"/>
        <v>43862</v>
      </c>
      <c r="P99" s="57">
        <f t="shared" si="6"/>
        <v>42069.734752082113</v>
      </c>
    </row>
    <row r="100" spans="5:18" x14ac:dyDescent="0.25">
      <c r="E100" s="54">
        <v>43891</v>
      </c>
      <c r="F100" s="56">
        <v>3738484.75</v>
      </c>
      <c r="G100" s="56">
        <f t="shared" si="7"/>
        <v>38268.722495503498</v>
      </c>
      <c r="H100" s="56">
        <v>5972219</v>
      </c>
      <c r="I100" s="70">
        <f t="shared" si="4"/>
        <v>20378.059283097999</v>
      </c>
      <c r="J100" s="56">
        <v>1514</v>
      </c>
      <c r="K100" s="56">
        <v>207282</v>
      </c>
      <c r="L100" s="56">
        <v>25792.112241879462</v>
      </c>
      <c r="M100" s="56">
        <v>368</v>
      </c>
      <c r="N100" s="56">
        <v>20</v>
      </c>
      <c r="O100" s="55">
        <f t="shared" si="5"/>
        <v>43891</v>
      </c>
      <c r="P100" s="57">
        <f t="shared" si="6"/>
        <v>33134.300114932499</v>
      </c>
    </row>
    <row r="101" spans="5:18" x14ac:dyDescent="0.25">
      <c r="E101" s="54">
        <v>43922</v>
      </c>
      <c r="F101" s="56">
        <v>2781418</v>
      </c>
      <c r="G101" s="56">
        <f t="shared" si="7"/>
        <v>28471.779532067994</v>
      </c>
      <c r="H101" s="56">
        <v>3069175</v>
      </c>
      <c r="I101" s="70">
        <f t="shared" si="4"/>
        <v>10472.460922850001</v>
      </c>
      <c r="J101" s="56">
        <v>424</v>
      </c>
      <c r="K101" s="56">
        <v>94051</v>
      </c>
      <c r="L101" s="56">
        <v>12589.273912096169</v>
      </c>
      <c r="M101" s="56">
        <v>271</v>
      </c>
      <c r="N101" s="56">
        <v>5</v>
      </c>
      <c r="O101" s="55">
        <f t="shared" si="5"/>
        <v>43922</v>
      </c>
      <c r="P101" s="57">
        <f t="shared" si="6"/>
        <v>19963.054100205998</v>
      </c>
    </row>
    <row r="102" spans="5:18" x14ac:dyDescent="0.25">
      <c r="E102" s="54">
        <v>43952</v>
      </c>
      <c r="F102" s="56">
        <v>3630649.4</v>
      </c>
      <c r="G102" s="56">
        <f t="shared" si="7"/>
        <v>37164.873915044402</v>
      </c>
      <c r="H102" s="56">
        <v>1286856</v>
      </c>
      <c r="I102" s="70">
        <f t="shared" si="4"/>
        <v>4390.9354055519998</v>
      </c>
      <c r="J102" s="56">
        <v>349</v>
      </c>
      <c r="K102" s="56">
        <v>57052</v>
      </c>
      <c r="L102" s="56">
        <v>6105.8219072063766</v>
      </c>
      <c r="M102" s="56">
        <v>179</v>
      </c>
      <c r="N102" s="56">
        <v>71</v>
      </c>
      <c r="O102" s="55">
        <f t="shared" si="5"/>
        <v>43952</v>
      </c>
      <c r="P102" s="57">
        <f t="shared" si="6"/>
        <v>16779.2267105668</v>
      </c>
    </row>
    <row r="103" spans="5:18" x14ac:dyDescent="0.25">
      <c r="E103" s="54">
        <v>43983</v>
      </c>
      <c r="F103" s="56">
        <v>4903768.43</v>
      </c>
      <c r="G103" s="56">
        <f t="shared" si="7"/>
        <v>50197.06265483117</v>
      </c>
      <c r="H103" s="56">
        <v>2807233</v>
      </c>
      <c r="I103" s="70">
        <f t="shared" si="4"/>
        <v>9578.6776230859996</v>
      </c>
      <c r="J103" s="56">
        <v>1578</v>
      </c>
      <c r="K103" s="56">
        <v>211502</v>
      </c>
      <c r="L103" s="56">
        <v>30682.856058707544</v>
      </c>
      <c r="M103" s="56">
        <v>20</v>
      </c>
      <c r="N103" s="56">
        <v>248</v>
      </c>
      <c r="O103" s="55">
        <f t="shared" si="5"/>
        <v>43983</v>
      </c>
      <c r="P103" s="57">
        <f t="shared" si="6"/>
        <v>26311.031841363059</v>
      </c>
    </row>
    <row r="104" spans="5:18" x14ac:dyDescent="0.25">
      <c r="E104" s="54">
        <v>44013</v>
      </c>
      <c r="F104" s="56">
        <v>5572275.9400000004</v>
      </c>
      <c r="G104" s="56">
        <f t="shared" si="7"/>
        <v>57040.190311390441</v>
      </c>
      <c r="H104" s="56">
        <v>1722547</v>
      </c>
      <c r="I104" s="70">
        <f t="shared" si="4"/>
        <v>5877.5749656739999</v>
      </c>
      <c r="J104" s="56">
        <v>1392</v>
      </c>
      <c r="K104" s="56">
        <v>203237</v>
      </c>
      <c r="L104" s="56">
        <v>24073.333736962348</v>
      </c>
      <c r="M104" s="56">
        <v>0</v>
      </c>
      <c r="N104" s="56">
        <v>430</v>
      </c>
      <c r="O104" s="55">
        <f t="shared" si="5"/>
        <v>44013</v>
      </c>
      <c r="P104" s="57">
        <f t="shared" si="6"/>
        <v>24890.971736137482</v>
      </c>
    </row>
    <row r="105" spans="5:18" x14ac:dyDescent="0.25">
      <c r="E105" s="54">
        <v>44044</v>
      </c>
      <c r="F105" s="56">
        <v>5615811.2999999998</v>
      </c>
      <c r="G105" s="56">
        <f t="shared" si="7"/>
        <v>57485.836802413804</v>
      </c>
      <c r="H105" s="56">
        <v>1890143</v>
      </c>
      <c r="I105" s="70">
        <f t="shared" si="4"/>
        <v>6449.4363163059998</v>
      </c>
      <c r="J105" s="56">
        <v>1558</v>
      </c>
      <c r="K105" s="56">
        <v>208968</v>
      </c>
      <c r="L105" s="56">
        <v>29750.716711069985</v>
      </c>
      <c r="M105" s="56">
        <v>0</v>
      </c>
      <c r="N105" s="56">
        <v>359</v>
      </c>
      <c r="O105" s="55">
        <f t="shared" si="5"/>
        <v>44044</v>
      </c>
      <c r="P105" s="57">
        <f t="shared" si="6"/>
        <v>25611.381917110601</v>
      </c>
    </row>
    <row r="106" spans="5:18" x14ac:dyDescent="0.25">
      <c r="E106" s="54">
        <v>44075</v>
      </c>
      <c r="F106" s="56">
        <v>4828128.04</v>
      </c>
      <c r="G106" s="56">
        <f t="shared" si="7"/>
        <v>49422.775399985039</v>
      </c>
      <c r="H106" s="56">
        <v>3253472</v>
      </c>
      <c r="I106" s="70">
        <f t="shared" si="4"/>
        <v>11101.308457024001</v>
      </c>
      <c r="J106" s="56">
        <v>1638</v>
      </c>
      <c r="K106" s="56">
        <v>211315</v>
      </c>
      <c r="L106" s="56">
        <v>33258.997461842373</v>
      </c>
      <c r="M106" s="56">
        <v>63</v>
      </c>
      <c r="N106" s="56">
        <v>138</v>
      </c>
      <c r="O106" s="55">
        <f t="shared" si="5"/>
        <v>44075</v>
      </c>
      <c r="P106" s="57">
        <f t="shared" si="6"/>
        <v>27575.566923685677</v>
      </c>
    </row>
    <row r="107" spans="5:18" ht="15.75" x14ac:dyDescent="0.25">
      <c r="E107" s="54">
        <v>44105</v>
      </c>
      <c r="F107" s="56">
        <v>4627658.8899999997</v>
      </c>
      <c r="G107" s="56">
        <f t="shared" si="7"/>
        <v>47370.687780727138</v>
      </c>
      <c r="H107" s="56">
        <v>4760664</v>
      </c>
      <c r="I107" s="70">
        <f t="shared" si="4"/>
        <v>16244.061582288001</v>
      </c>
      <c r="J107" s="56">
        <v>1700</v>
      </c>
      <c r="K107" s="56">
        <v>226848</v>
      </c>
      <c r="L107" s="56">
        <v>29089.902394858873</v>
      </c>
      <c r="M107" s="56">
        <v>157</v>
      </c>
      <c r="N107" s="56">
        <v>20</v>
      </c>
      <c r="O107" s="55">
        <f t="shared" si="5"/>
        <v>44105</v>
      </c>
      <c r="P107" s="57">
        <f t="shared" si="6"/>
        <v>32034.290842530379</v>
      </c>
      <c r="Q107" s="174" t="s">
        <v>169</v>
      </c>
      <c r="R107" s="174" t="s">
        <v>169</v>
      </c>
    </row>
    <row r="108" spans="5:18" ht="15.75" x14ac:dyDescent="0.25">
      <c r="E108" s="54">
        <v>44136</v>
      </c>
      <c r="F108" s="56">
        <v>4092344.03</v>
      </c>
      <c r="G108" s="56">
        <f t="shared" si="7"/>
        <v>41890.976829636784</v>
      </c>
      <c r="H108" s="56">
        <v>5750945.3999999994</v>
      </c>
      <c r="I108" s="70">
        <f t="shared" si="4"/>
        <v>19623.042339046799</v>
      </c>
      <c r="J108" s="56">
        <v>1408</v>
      </c>
      <c r="K108" s="56">
        <v>199374</v>
      </c>
      <c r="L108" s="56">
        <v>34970.75478168964</v>
      </c>
      <c r="M108" s="56">
        <v>363</v>
      </c>
      <c r="N108" s="56">
        <v>6</v>
      </c>
      <c r="O108" s="55">
        <f t="shared" si="5"/>
        <v>44136</v>
      </c>
      <c r="P108" s="57">
        <f t="shared" si="6"/>
        <v>33586.701282259062</v>
      </c>
      <c r="Q108" s="175" t="s">
        <v>1054</v>
      </c>
      <c r="R108" s="175" t="s">
        <v>1047</v>
      </c>
    </row>
    <row r="109" spans="5:18" ht="16.5" thickBot="1" x14ac:dyDescent="0.3">
      <c r="E109" s="72">
        <v>44166</v>
      </c>
      <c r="F109" s="73">
        <v>2504360</v>
      </c>
      <c r="G109" s="73">
        <f t="shared" si="7"/>
        <v>25635.69581736</v>
      </c>
      <c r="H109" s="73">
        <v>9748423</v>
      </c>
      <c r="I109" s="73">
        <f t="shared" si="4"/>
        <v>33263.003552065995</v>
      </c>
      <c r="J109" s="73">
        <v>1327</v>
      </c>
      <c r="K109" s="73">
        <v>201607</v>
      </c>
      <c r="L109" s="73">
        <v>28747.975480631285</v>
      </c>
      <c r="M109" s="73">
        <v>762</v>
      </c>
      <c r="N109" s="73">
        <v>0</v>
      </c>
      <c r="O109" s="74">
        <f t="shared" si="5"/>
        <v>44166</v>
      </c>
      <c r="P109" s="57">
        <f t="shared" si="6"/>
        <v>41808.235491185995</v>
      </c>
      <c r="Q109" s="220">
        <f>SUM(F98:F109)</f>
        <v>49693510.880000003</v>
      </c>
      <c r="R109" s="228">
        <f>SUM(I98:I109)</f>
        <v>200893.16115617077</v>
      </c>
    </row>
    <row r="110" spans="5:18" ht="15.75" x14ac:dyDescent="0.25">
      <c r="E110" s="69">
        <v>44197</v>
      </c>
      <c r="F110" s="56">
        <v>3611280.71</v>
      </c>
      <c r="G110" s="56">
        <v>36966.60775314246</v>
      </c>
      <c r="H110" s="56">
        <v>10899018.85677677</v>
      </c>
      <c r="I110" s="56">
        <v>37189</v>
      </c>
      <c r="J110" s="56">
        <v>1431</v>
      </c>
      <c r="K110" s="56">
        <v>212556</v>
      </c>
      <c r="L110" s="56">
        <v>31583.353452474817</v>
      </c>
      <c r="M110" s="56">
        <v>854</v>
      </c>
      <c r="N110" s="56">
        <v>0</v>
      </c>
      <c r="O110" s="55">
        <f t="shared" si="5"/>
        <v>44197</v>
      </c>
      <c r="P110" s="57">
        <f t="shared" si="6"/>
        <v>49511.202584380822</v>
      </c>
      <c r="Q110" s="295"/>
      <c r="R110" s="296"/>
    </row>
    <row r="111" spans="5:18" ht="15.75" x14ac:dyDescent="0.25">
      <c r="E111" s="54">
        <v>44228</v>
      </c>
      <c r="F111" s="56">
        <v>3566421.42</v>
      </c>
      <c r="G111" s="56">
        <v>36507.408950644916</v>
      </c>
      <c r="H111" s="56">
        <v>8796820.2964589391</v>
      </c>
      <c r="I111" s="56">
        <v>30016</v>
      </c>
      <c r="J111" s="56">
        <v>1426</v>
      </c>
      <c r="K111" s="56">
        <v>203966</v>
      </c>
      <c r="L111" s="56">
        <v>32042.220869896701</v>
      </c>
      <c r="M111" s="56">
        <v>733</v>
      </c>
      <c r="N111" s="56">
        <v>0</v>
      </c>
      <c r="O111" s="55">
        <f t="shared" si="5"/>
        <v>44228</v>
      </c>
      <c r="P111" s="57">
        <f t="shared" si="6"/>
        <v>42185.136316881639</v>
      </c>
      <c r="Q111" s="295"/>
      <c r="R111" s="296"/>
    </row>
    <row r="112" spans="5:18" ht="15.75" x14ac:dyDescent="0.25">
      <c r="E112" s="54">
        <v>44256</v>
      </c>
      <c r="F112" s="56">
        <v>4150632.61</v>
      </c>
      <c r="G112" s="56">
        <v>42487.643565451857</v>
      </c>
      <c r="H112" s="56">
        <v>7561818.9395400314</v>
      </c>
      <c r="I112" s="56">
        <v>25802</v>
      </c>
      <c r="J112" s="56">
        <v>1897</v>
      </c>
      <c r="K112" s="56">
        <v>267730</v>
      </c>
      <c r="L112" s="56">
        <v>49751.246693428366</v>
      </c>
      <c r="M112" s="56">
        <v>457</v>
      </c>
      <c r="N112" s="56">
        <v>0</v>
      </c>
      <c r="O112" s="55">
        <f t="shared" si="5"/>
        <v>44256</v>
      </c>
      <c r="P112" s="57">
        <f t="shared" si="6"/>
        <v>39964.547855150617</v>
      </c>
      <c r="Q112" s="295"/>
      <c r="R112" s="296"/>
    </row>
    <row r="113" spans="5:18" ht="15.75" x14ac:dyDescent="0.25">
      <c r="E113" s="54">
        <v>44287</v>
      </c>
      <c r="F113" s="56">
        <v>4063020.91</v>
      </c>
      <c r="G113" s="56">
        <v>41590.812881667662</v>
      </c>
      <c r="H113" s="56">
        <v>4130250.1478543389</v>
      </c>
      <c r="I113" s="56">
        <v>14093</v>
      </c>
      <c r="J113" s="56">
        <v>1291</v>
      </c>
      <c r="K113" s="56">
        <v>193896</v>
      </c>
      <c r="L113" s="56">
        <v>23452.022195512684</v>
      </c>
      <c r="M113" s="56">
        <v>275</v>
      </c>
      <c r="N113" s="56">
        <v>15</v>
      </c>
      <c r="O113" s="55">
        <f t="shared" si="5"/>
        <v>44287</v>
      </c>
      <c r="P113" s="57">
        <f t="shared" si="6"/>
        <v>27956.604293889221</v>
      </c>
      <c r="Q113" s="295"/>
      <c r="R113" s="296"/>
    </row>
    <row r="114" spans="5:18" ht="15.75" x14ac:dyDescent="0.25">
      <c r="E114" s="69">
        <v>44317</v>
      </c>
      <c r="F114" s="56">
        <v>4688616.53</v>
      </c>
      <c r="G114" s="56">
        <v>47994.676151721782</v>
      </c>
      <c r="H114" s="56">
        <v>3397865.6222396372</v>
      </c>
      <c r="I114" s="56">
        <v>11594</v>
      </c>
      <c r="J114" s="56">
        <v>1577</v>
      </c>
      <c r="K114" s="56">
        <v>233091</v>
      </c>
      <c r="L114" s="56">
        <v>36087.895443347756</v>
      </c>
      <c r="M114" s="56">
        <v>102</v>
      </c>
      <c r="N114" s="56">
        <v>86</v>
      </c>
      <c r="O114" s="55">
        <f t="shared" si="5"/>
        <v>44317</v>
      </c>
      <c r="P114" s="57">
        <f t="shared" si="6"/>
        <v>27592.225383907258</v>
      </c>
      <c r="Q114" s="295"/>
      <c r="R114" s="296"/>
    </row>
    <row r="115" spans="5:18" ht="15.75" x14ac:dyDescent="0.25">
      <c r="E115" s="54">
        <v>44348</v>
      </c>
      <c r="F115" s="56">
        <v>5028490.5199999996</v>
      </c>
      <c r="G115" s="56">
        <v>51473.771099681515</v>
      </c>
      <c r="H115" s="56">
        <v>2111576.8335549929</v>
      </c>
      <c r="I115" s="56">
        <v>7205</v>
      </c>
      <c r="J115" s="56">
        <v>1755</v>
      </c>
      <c r="K115" s="56">
        <v>262256</v>
      </c>
      <c r="L115" s="56">
        <v>32925.599985748813</v>
      </c>
      <c r="M115" s="56">
        <v>3</v>
      </c>
      <c r="N115" s="56">
        <v>254</v>
      </c>
      <c r="O115" s="55">
        <f t="shared" si="5"/>
        <v>44348</v>
      </c>
      <c r="P115" s="57">
        <f t="shared" si="6"/>
        <v>24362.92369989384</v>
      </c>
      <c r="Q115" s="295"/>
      <c r="R115" s="296"/>
    </row>
    <row r="116" spans="5:18" ht="15.75" x14ac:dyDescent="0.25">
      <c r="E116" s="54">
        <v>44378</v>
      </c>
      <c r="F116" s="56">
        <v>5561279.1900000004</v>
      </c>
      <c r="G116" s="56">
        <v>56927.62289377494</v>
      </c>
      <c r="H116" s="56">
        <v>1627716.5487251116</v>
      </c>
      <c r="I116" s="56">
        <v>5554</v>
      </c>
      <c r="J116" s="56">
        <v>1287</v>
      </c>
      <c r="K116" s="56">
        <v>232831</v>
      </c>
      <c r="L116" s="56">
        <v>33742.601848213271</v>
      </c>
      <c r="M116" s="56">
        <v>0</v>
      </c>
      <c r="N116" s="56">
        <v>375</v>
      </c>
      <c r="O116" s="55">
        <f t="shared" si="5"/>
        <v>44378</v>
      </c>
      <c r="P116" s="57">
        <f t="shared" si="6"/>
        <v>24529.87429792498</v>
      </c>
      <c r="Q116" s="295"/>
      <c r="R116" s="296"/>
    </row>
    <row r="117" spans="5:18" ht="15.75" x14ac:dyDescent="0.25">
      <c r="E117" s="54">
        <v>44409</v>
      </c>
      <c r="F117" s="56">
        <v>5612547</v>
      </c>
      <c r="G117" s="56">
        <v>57452.422037021999</v>
      </c>
      <c r="H117" s="56">
        <v>1827004.8550148264</v>
      </c>
      <c r="I117" s="56">
        <v>6234</v>
      </c>
      <c r="J117" s="56">
        <v>1207</v>
      </c>
      <c r="K117" s="56">
        <v>245143</v>
      </c>
      <c r="L117" s="56">
        <v>33539.562384955243</v>
      </c>
      <c r="M117" s="56">
        <v>0</v>
      </c>
      <c r="N117" s="56">
        <v>370</v>
      </c>
      <c r="O117" s="55">
        <f t="shared" si="5"/>
        <v>44409</v>
      </c>
      <c r="P117" s="57">
        <f t="shared" si="6"/>
        <v>25384.807345673998</v>
      </c>
      <c r="Q117" s="295"/>
      <c r="R117" s="296"/>
    </row>
    <row r="118" spans="5:18" x14ac:dyDescent="0.25">
      <c r="E118" s="69">
        <v>44440</v>
      </c>
      <c r="F118" s="56">
        <v>4932260.26</v>
      </c>
      <c r="G118" s="56">
        <v>50488.717164230751</v>
      </c>
      <c r="H118" s="56">
        <v>2302073.0086848671</v>
      </c>
      <c r="I118" s="56">
        <v>7855</v>
      </c>
      <c r="J118" s="56">
        <v>769</v>
      </c>
      <c r="K118" s="56">
        <v>212941</v>
      </c>
      <c r="L118" s="56">
        <v>34166.349483902515</v>
      </c>
      <c r="M118" s="56">
        <v>25</v>
      </c>
      <c r="N118" s="56">
        <v>148</v>
      </c>
      <c r="O118" s="55">
        <f t="shared" si="5"/>
        <v>44440</v>
      </c>
      <c r="P118" s="57">
        <f t="shared" si="6"/>
        <v>24684.572388076918</v>
      </c>
    </row>
    <row r="119" spans="5:18" ht="15.75" x14ac:dyDescent="0.25">
      <c r="E119" s="54">
        <v>44470</v>
      </c>
      <c r="F119" s="56">
        <v>4636218.78</v>
      </c>
      <c r="G119" s="56">
        <v>47458.310461280285</v>
      </c>
      <c r="H119" s="56">
        <v>4374964.4651365625</v>
      </c>
      <c r="I119" s="56">
        <v>14928</v>
      </c>
      <c r="J119" s="56">
        <v>783</v>
      </c>
      <c r="K119" s="56">
        <v>210063</v>
      </c>
      <c r="L119" s="56">
        <v>18601.207273927987</v>
      </c>
      <c r="M119" s="56">
        <v>128</v>
      </c>
      <c r="N119" s="56">
        <v>57</v>
      </c>
      <c r="O119" s="55">
        <f t="shared" si="5"/>
        <v>44470</v>
      </c>
      <c r="P119" s="57">
        <f t="shared" si="6"/>
        <v>30747.436820426759</v>
      </c>
      <c r="Q119" s="174" t="s">
        <v>169</v>
      </c>
      <c r="R119" s="174" t="s">
        <v>169</v>
      </c>
    </row>
    <row r="120" spans="5:18" ht="15.75" x14ac:dyDescent="0.25">
      <c r="E120" s="54">
        <v>44501</v>
      </c>
      <c r="F120" s="56">
        <v>4192553.82</v>
      </c>
      <c r="G120" s="56">
        <v>42916.766929447316</v>
      </c>
      <c r="H120" s="56">
        <v>10156669.915847583</v>
      </c>
      <c r="I120" s="56">
        <v>34656</v>
      </c>
      <c r="J120" s="56">
        <v>1387</v>
      </c>
      <c r="K120" s="56">
        <v>241936</v>
      </c>
      <c r="L120" s="56">
        <v>42205.203391765157</v>
      </c>
      <c r="M120" s="56">
        <v>605</v>
      </c>
      <c r="N120" s="56">
        <v>0</v>
      </c>
      <c r="O120" s="55">
        <f t="shared" si="5"/>
        <v>44501</v>
      </c>
      <c r="P120" s="57">
        <f t="shared" si="6"/>
        <v>48961.588976482439</v>
      </c>
      <c r="Q120" s="175" t="s">
        <v>1054</v>
      </c>
      <c r="R120" s="175" t="s">
        <v>1047</v>
      </c>
    </row>
    <row r="121" spans="5:18" ht="15.75" x14ac:dyDescent="0.25">
      <c r="E121" s="54">
        <v>44531</v>
      </c>
      <c r="F121" s="56">
        <v>3959841.47</v>
      </c>
      <c r="G121" s="56">
        <v>40534.624179386221</v>
      </c>
      <c r="H121" s="56">
        <v>8372453.4324773122</v>
      </c>
      <c r="I121" s="56">
        <v>28568</v>
      </c>
      <c r="J121" s="56">
        <v>1170</v>
      </c>
      <c r="K121" s="56">
        <v>231443</v>
      </c>
      <c r="L121" s="56">
        <v>27641.818328021534</v>
      </c>
      <c r="M121" s="56">
        <v>391</v>
      </c>
      <c r="N121" s="56">
        <v>1</v>
      </c>
      <c r="O121" s="55">
        <f t="shared" si="5"/>
        <v>44531</v>
      </c>
      <c r="P121" s="57">
        <f t="shared" si="6"/>
        <v>42079.54139312874</v>
      </c>
      <c r="Q121" s="220">
        <f>SUM(F110:F121)</f>
        <v>54003163.219999999</v>
      </c>
      <c r="R121" s="228">
        <f>SUM(I110:I121)</f>
        <v>223694</v>
      </c>
    </row>
    <row r="122" spans="5:18" ht="15.75" x14ac:dyDescent="0.25">
      <c r="E122" s="54">
        <v>44562</v>
      </c>
      <c r="F122" s="56">
        <v>2176625.88</v>
      </c>
      <c r="G122" s="56">
        <v>22280.869750304879</v>
      </c>
      <c r="H122" s="56">
        <v>13686955</v>
      </c>
      <c r="I122" s="56">
        <v>56032</v>
      </c>
      <c r="J122" s="56">
        <v>1097</v>
      </c>
      <c r="K122" s="56">
        <v>228495</v>
      </c>
      <c r="L122" s="56">
        <v>22056.490549223206</v>
      </c>
      <c r="M122" s="56">
        <v>885</v>
      </c>
      <c r="N122" s="56">
        <v>4</v>
      </c>
      <c r="O122" s="55">
        <f t="shared" si="5"/>
        <v>44562</v>
      </c>
      <c r="P122" s="57">
        <f t="shared" si="6"/>
        <v>63458.956583434963</v>
      </c>
      <c r="Q122" s="220">
        <f t="shared" ref="Q122:Q133" si="8">SUM(F111:F122)</f>
        <v>52568508.390000001</v>
      </c>
      <c r="R122" s="228">
        <f t="shared" ref="R122:R132" si="9">SUM(I111:I122)</f>
        <v>242537</v>
      </c>
    </row>
    <row r="123" spans="5:18" ht="15.75" x14ac:dyDescent="0.25">
      <c r="E123" s="54">
        <v>44593</v>
      </c>
      <c r="F123" s="56">
        <v>3991824</v>
      </c>
      <c r="G123" s="56">
        <v>40862.010981023996</v>
      </c>
      <c r="H123" s="56">
        <v>9412822</v>
      </c>
      <c r="I123" s="56">
        <v>32117.885284723998</v>
      </c>
      <c r="J123" s="56">
        <v>1058</v>
      </c>
      <c r="K123" s="56">
        <v>242442</v>
      </c>
      <c r="L123" s="56">
        <v>25649.51016804028</v>
      </c>
      <c r="M123" s="56">
        <v>622</v>
      </c>
      <c r="N123" s="56">
        <v>0</v>
      </c>
      <c r="O123" s="55">
        <f t="shared" si="5"/>
        <v>44593</v>
      </c>
      <c r="P123" s="57">
        <f t="shared" si="6"/>
        <v>45738.555611731994</v>
      </c>
      <c r="Q123" s="220">
        <f t="shared" si="8"/>
        <v>52993910.970000006</v>
      </c>
      <c r="R123" s="228">
        <f t="shared" si="9"/>
        <v>244638.88528472401</v>
      </c>
    </row>
    <row r="124" spans="5:18" ht="15.75" x14ac:dyDescent="0.25">
      <c r="E124" s="54">
        <v>44621</v>
      </c>
      <c r="F124" s="56">
        <v>3758008</v>
      </c>
      <c r="G124" s="56">
        <v>38468.570799408</v>
      </c>
      <c r="H124" s="56">
        <v>7847828</v>
      </c>
      <c r="I124" s="56">
        <v>26777.903527576</v>
      </c>
      <c r="J124" s="56">
        <v>1599</v>
      </c>
      <c r="K124" s="56">
        <v>301670</v>
      </c>
      <c r="L124" s="56">
        <v>42713.616813492707</v>
      </c>
      <c r="M124" s="56">
        <v>432</v>
      </c>
      <c r="N124" s="56">
        <v>0</v>
      </c>
      <c r="O124" s="55">
        <f t="shared" si="5"/>
        <v>44621</v>
      </c>
      <c r="P124" s="57">
        <f t="shared" si="6"/>
        <v>39600.760460712001</v>
      </c>
      <c r="Q124" s="220">
        <f t="shared" si="8"/>
        <v>52601286.360000007</v>
      </c>
      <c r="R124" s="228">
        <f t="shared" si="9"/>
        <v>245614.78881230002</v>
      </c>
    </row>
    <row r="125" spans="5:18" ht="15.75" x14ac:dyDescent="0.25">
      <c r="E125" s="54">
        <v>44652</v>
      </c>
      <c r="F125" s="56">
        <v>4207109</v>
      </c>
      <c r="G125" s="56">
        <v>43065.759952434004</v>
      </c>
      <c r="H125" s="56">
        <v>5442310</v>
      </c>
      <c r="I125" s="56">
        <v>18569.93452802</v>
      </c>
      <c r="J125" s="56">
        <v>1568</v>
      </c>
      <c r="K125" s="56">
        <v>269688</v>
      </c>
      <c r="L125" s="56">
        <v>38836.121118172145</v>
      </c>
      <c r="M125" s="56">
        <v>238</v>
      </c>
      <c r="N125" s="56">
        <v>0</v>
      </c>
      <c r="O125" s="55">
        <f t="shared" si="5"/>
        <v>44652</v>
      </c>
      <c r="P125" s="57">
        <f t="shared" si="6"/>
        <v>32925.187845498003</v>
      </c>
      <c r="Q125" s="220">
        <f>SUM(F114:F125)</f>
        <v>52745374.450000003</v>
      </c>
      <c r="R125" s="228">
        <f t="shared" si="9"/>
        <v>250091.72334032002</v>
      </c>
    </row>
    <row r="126" spans="5:18" ht="15.75" x14ac:dyDescent="0.25">
      <c r="E126" s="54">
        <v>44682</v>
      </c>
      <c r="F126" s="56">
        <v>4607630</v>
      </c>
      <c r="G126" s="56">
        <v>47165.663530379999</v>
      </c>
      <c r="H126" s="56">
        <v>4088327</v>
      </c>
      <c r="I126" s="56">
        <v>13949.952266434</v>
      </c>
      <c r="J126" s="56">
        <v>1620</v>
      </c>
      <c r="K126" s="56">
        <v>284547</v>
      </c>
      <c r="L126" s="56">
        <v>49857.361491825737</v>
      </c>
      <c r="M126" s="56">
        <v>32</v>
      </c>
      <c r="N126" s="56">
        <v>144</v>
      </c>
      <c r="O126" s="55">
        <f t="shared" si="5"/>
        <v>44682</v>
      </c>
      <c r="P126" s="57">
        <f t="shared" si="6"/>
        <v>29671.840109894001</v>
      </c>
      <c r="Q126" s="220">
        <f t="shared" si="8"/>
        <v>52664387.920000002</v>
      </c>
      <c r="R126" s="228">
        <f t="shared" si="9"/>
        <v>252447.67560675403</v>
      </c>
    </row>
    <row r="127" spans="5:18" ht="15.75" x14ac:dyDescent="0.25">
      <c r="E127" s="54">
        <v>44713</v>
      </c>
      <c r="F127" s="56">
        <v>5386322</v>
      </c>
      <c r="G127" s="56">
        <v>55136.686565172</v>
      </c>
      <c r="H127" s="56">
        <v>2686280</v>
      </c>
      <c r="I127" s="56">
        <v>9165.9688117599999</v>
      </c>
      <c r="J127" s="56">
        <v>1644</v>
      </c>
      <c r="K127" s="56">
        <v>289467</v>
      </c>
      <c r="L127" s="56">
        <v>32553</v>
      </c>
      <c r="M127" s="56">
        <v>0</v>
      </c>
      <c r="N127" s="56">
        <v>336</v>
      </c>
      <c r="O127" s="55">
        <f t="shared" si="5"/>
        <v>44713</v>
      </c>
      <c r="P127" s="57">
        <f t="shared" si="6"/>
        <v>27544.864333484002</v>
      </c>
      <c r="Q127" s="220">
        <f t="shared" si="8"/>
        <v>53022219.399999999</v>
      </c>
      <c r="R127" s="228">
        <f t="shared" si="9"/>
        <v>254408.64441851401</v>
      </c>
    </row>
    <row r="128" spans="5:18" ht="15.75" x14ac:dyDescent="0.25">
      <c r="E128" s="54">
        <v>44743</v>
      </c>
      <c r="F128" s="56">
        <v>6048984</v>
      </c>
      <c r="G128" s="56">
        <v>61919.977091184002</v>
      </c>
      <c r="H128" s="56">
        <v>1994634</v>
      </c>
      <c r="I128" s="56">
        <v>6805.9744460279999</v>
      </c>
      <c r="J128" s="56">
        <v>1396</v>
      </c>
      <c r="K128" s="56">
        <v>271948</v>
      </c>
      <c r="L128" s="56">
        <v>54901</v>
      </c>
      <c r="M128" s="56">
        <v>0</v>
      </c>
      <c r="N128" s="56">
        <v>449</v>
      </c>
      <c r="O128" s="55">
        <f t="shared" si="5"/>
        <v>44743</v>
      </c>
      <c r="P128" s="57">
        <f t="shared" si="6"/>
        <v>27445.966809755999</v>
      </c>
      <c r="Q128" s="220">
        <f t="shared" si="8"/>
        <v>53509924.209999993</v>
      </c>
      <c r="R128" s="228">
        <f t="shared" si="9"/>
        <v>255660.61886454202</v>
      </c>
    </row>
    <row r="129" spans="5:18" ht="15.75" x14ac:dyDescent="0.25">
      <c r="E129" s="54">
        <v>44774</v>
      </c>
      <c r="F129" s="56">
        <v>6349929</v>
      </c>
      <c r="G129" s="56">
        <v>65000.578313753998</v>
      </c>
      <c r="H129" s="56">
        <v>2252243</v>
      </c>
      <c r="I129" s="56">
        <v>7684.9729345059995</v>
      </c>
      <c r="J129" s="56">
        <v>1561</v>
      </c>
      <c r="K129" s="56">
        <v>312108</v>
      </c>
      <c r="L129" s="56">
        <v>45645</v>
      </c>
      <c r="M129" s="56">
        <v>0</v>
      </c>
      <c r="N129" s="56">
        <v>358</v>
      </c>
      <c r="O129" s="55">
        <f t="shared" si="5"/>
        <v>44774</v>
      </c>
      <c r="P129" s="57">
        <f t="shared" si="6"/>
        <v>29351.832372424</v>
      </c>
      <c r="Q129" s="220">
        <f t="shared" si="8"/>
        <v>54247306.209999993</v>
      </c>
      <c r="R129" s="228">
        <f t="shared" si="9"/>
        <v>257111.59179904801</v>
      </c>
    </row>
    <row r="130" spans="5:18" ht="15.75" x14ac:dyDescent="0.25">
      <c r="E130" s="54">
        <v>44805</v>
      </c>
      <c r="F130" s="56">
        <v>5734642</v>
      </c>
      <c r="G130" s="56">
        <v>58702.238469491997</v>
      </c>
      <c r="H130" s="56">
        <v>4013300</v>
      </c>
      <c r="I130" s="56">
        <v>13693.949488599999</v>
      </c>
      <c r="J130" s="56">
        <v>1510</v>
      </c>
      <c r="K130" s="56">
        <v>293532</v>
      </c>
      <c r="L130" s="56">
        <v>52668</v>
      </c>
      <c r="M130" s="56">
        <v>29</v>
      </c>
      <c r="N130" s="56">
        <v>164</v>
      </c>
      <c r="O130" s="55">
        <f t="shared" si="5"/>
        <v>44805</v>
      </c>
      <c r="P130" s="57">
        <f t="shared" si="6"/>
        <v>33261.362311763995</v>
      </c>
      <c r="Q130" s="220">
        <f t="shared" si="8"/>
        <v>55049687.950000003</v>
      </c>
      <c r="R130" s="228">
        <f t="shared" si="9"/>
        <v>262950.54128764803</v>
      </c>
    </row>
    <row r="131" spans="5:18" ht="15.75" x14ac:dyDescent="0.25">
      <c r="E131" s="54">
        <v>44835</v>
      </c>
      <c r="F131" s="56">
        <v>3282269</v>
      </c>
      <c r="G131" s="56">
        <v>33598.703730594003</v>
      </c>
      <c r="H131" s="56">
        <v>8035686</v>
      </c>
      <c r="I131" s="56">
        <v>27418.901699411999</v>
      </c>
      <c r="J131" s="56">
        <v>1376</v>
      </c>
      <c r="K131" s="56">
        <v>291765</v>
      </c>
      <c r="L131" s="56">
        <v>38607</v>
      </c>
      <c r="M131" s="56">
        <v>259</v>
      </c>
      <c r="N131" s="56">
        <v>25</v>
      </c>
      <c r="O131" s="55">
        <f t="shared" si="5"/>
        <v>44835</v>
      </c>
      <c r="P131" s="57">
        <f t="shared" si="6"/>
        <v>38618.469609610001</v>
      </c>
      <c r="Q131" s="220">
        <f t="shared" si="8"/>
        <v>53695738.170000002</v>
      </c>
      <c r="R131" s="228">
        <f t="shared" si="9"/>
        <v>275441.44298706</v>
      </c>
    </row>
    <row r="132" spans="5:18" ht="15.75" x14ac:dyDescent="0.25">
      <c r="E132" s="54">
        <v>44866</v>
      </c>
      <c r="F132" s="56">
        <v>4423942</v>
      </c>
      <c r="G132" s="56">
        <v>45285.354911292001</v>
      </c>
      <c r="H132" s="56">
        <v>8898788</v>
      </c>
      <c r="I132" s="56">
        <v>30363.928283895999</v>
      </c>
      <c r="J132" s="56">
        <v>1457</v>
      </c>
      <c r="K132" s="56">
        <v>288745</v>
      </c>
      <c r="L132" s="56">
        <v>26495</v>
      </c>
      <c r="M132" s="56">
        <v>498</v>
      </c>
      <c r="N132" s="56">
        <v>1</v>
      </c>
      <c r="O132" s="55">
        <f t="shared" si="5"/>
        <v>44866</v>
      </c>
      <c r="P132" s="57">
        <f t="shared" si="6"/>
        <v>45459.046587659999</v>
      </c>
      <c r="Q132" s="220">
        <f t="shared" si="8"/>
        <v>53927126.350000001</v>
      </c>
      <c r="R132" s="228">
        <f t="shared" si="9"/>
        <v>271149.37127095601</v>
      </c>
    </row>
    <row r="133" spans="5:18" ht="15.75" x14ac:dyDescent="0.25">
      <c r="E133" s="54">
        <v>44896</v>
      </c>
      <c r="F133" s="56">
        <v>2719362</v>
      </c>
      <c r="G133" s="56">
        <v>27836.547880212001</v>
      </c>
      <c r="H133" s="56">
        <v>10889973</v>
      </c>
      <c r="I133" s="56">
        <v>37158.134252165997</v>
      </c>
      <c r="J133" s="56">
        <v>877</v>
      </c>
      <c r="K133" s="56">
        <v>226795</v>
      </c>
      <c r="L133" s="56">
        <v>25399</v>
      </c>
      <c r="M133" s="56">
        <v>782</v>
      </c>
      <c r="N133" s="56">
        <v>0</v>
      </c>
      <c r="O133" s="55">
        <f t="shared" si="5"/>
        <v>44896</v>
      </c>
      <c r="P133" s="57">
        <f t="shared" si="6"/>
        <v>46436.983545569994</v>
      </c>
      <c r="Q133" s="220">
        <f t="shared" si="8"/>
        <v>52686646.879999995</v>
      </c>
      <c r="R133" s="228">
        <f>SUM(I122:I133)</f>
        <v>279739.50552312197</v>
      </c>
    </row>
    <row r="134" spans="5:18" ht="18.75" x14ac:dyDescent="0.25">
      <c r="E134" s="27" t="s">
        <v>956</v>
      </c>
      <c r="F134" s="58">
        <f t="shared" ref="F134:N134" si="10">SUM(F14:F133)</f>
        <v>578251708.54999995</v>
      </c>
      <c r="G134" s="58">
        <f t="shared" si="10"/>
        <v>5919230.8239456434</v>
      </c>
      <c r="H134" s="58">
        <f t="shared" si="10"/>
        <v>717742261.42231083</v>
      </c>
      <c r="I134" s="58">
        <f t="shared" si="10"/>
        <v>2458368.6813664371</v>
      </c>
      <c r="J134" s="58">
        <f t="shared" si="10"/>
        <v>216796.5</v>
      </c>
      <c r="K134" s="58">
        <f t="shared" si="10"/>
        <v>32776675.410000611</v>
      </c>
      <c r="L134" s="58">
        <f t="shared" si="10"/>
        <v>4289534.9428851269</v>
      </c>
      <c r="M134" s="60">
        <f t="shared" si="10"/>
        <v>38993</v>
      </c>
      <c r="N134" s="60">
        <f t="shared" si="10"/>
        <v>13194</v>
      </c>
    </row>
    <row r="137" spans="5:18" x14ac:dyDescent="0.25">
      <c r="F137" s="221">
        <f>SUM(F122:F133)</f>
        <v>52686646.879999995</v>
      </c>
      <c r="I137" s="221">
        <f>SUM(I122:I133)</f>
        <v>279739.50552312197</v>
      </c>
    </row>
  </sheetData>
  <mergeCells count="1">
    <mergeCell ref="A1:C3"/>
  </mergeCells>
  <pageMargins left="0.7" right="0.7" top="0.75" bottom="0.75" header="0.3" footer="0.3"/>
  <pageSetup orientation="portrait" horizontalDpi="4294967293" verticalDpi="4294967293" r:id="rId1"/>
  <ignoredErrors>
    <ignoredError sqref="Q73:Q10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e1f268-630b-4a37-b549-5cda82520ebb">
      <Terms xmlns="http://schemas.microsoft.com/office/infopath/2007/PartnerControls"/>
    </lcf76f155ced4ddcb4097134ff3c332f>
    <TaxCatchAll xmlns="90dfc50e-29a3-4dac-b976-3678f4a5f83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A3D4F87CB4EC40ABCCCC8FF4752AB7" ma:contentTypeVersion="17" ma:contentTypeDescription="Create a new document." ma:contentTypeScope="" ma:versionID="0be34b1f56288b37751a032ae0238a87">
  <xsd:schema xmlns:xsd="http://www.w3.org/2001/XMLSchema" xmlns:xs="http://www.w3.org/2001/XMLSchema" xmlns:p="http://schemas.microsoft.com/office/2006/metadata/properties" xmlns:ns2="9fe1f268-630b-4a37-b549-5cda82520ebb" xmlns:ns3="90dfc50e-29a3-4dac-b976-3678f4a5f832" targetNamespace="http://schemas.microsoft.com/office/2006/metadata/properties" ma:root="true" ma:fieldsID="98efa13a7b4b9ecfcbdb6fc4c3f5534b" ns2:_="" ns3:_="">
    <xsd:import namespace="9fe1f268-630b-4a37-b549-5cda82520ebb"/>
    <xsd:import namespace="90dfc50e-29a3-4dac-b976-3678f4a5f83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e1f268-630b-4a37-b549-5cda82520e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f1347a-c1ac-48ff-84f5-fe82760552a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dfc50e-29a3-4dac-b976-3678f4a5f8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80a00ad-e6a7-48dd-8753-047ddd3ef3dd}" ma:internalName="TaxCatchAll" ma:showField="CatchAllData" ma:web="90dfc50e-29a3-4dac-b976-3678f4a5f8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4DC04-5F5B-470A-8C7F-88EF39D2F0C8}">
  <ds:schemaRefs>
    <ds:schemaRef ds:uri="http://schemas.microsoft.com/office/2006/metadata/properties"/>
    <ds:schemaRef ds:uri="http://schemas.microsoft.com/office/infopath/2007/PartnerControls"/>
    <ds:schemaRef ds:uri="9fe1f268-630b-4a37-b549-5cda82520ebb"/>
    <ds:schemaRef ds:uri="90dfc50e-29a3-4dac-b976-3678f4a5f832"/>
  </ds:schemaRefs>
</ds:datastoreItem>
</file>

<file path=customXml/itemProps2.xml><?xml version="1.0" encoding="utf-8"?>
<ds:datastoreItem xmlns:ds="http://schemas.openxmlformats.org/officeDocument/2006/customXml" ds:itemID="{EE1C85F9-D9A0-4552-9792-F2879F27A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e1f268-630b-4a37-b549-5cda82520ebb"/>
    <ds:schemaRef ds:uri="90dfc50e-29a3-4dac-b976-3678f4a5f8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4BB76-A57E-43FF-8A21-41F8DF9603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1_INTRO</vt:lpstr>
      <vt:lpstr>2_Energy IN &amp; OUT</vt:lpstr>
      <vt:lpstr>3A_Energy CONSUMED</vt:lpstr>
      <vt:lpstr>3B_Process Block Diagrams</vt:lpstr>
      <vt:lpstr>3C_Elec Equip Master</vt:lpstr>
      <vt:lpstr>3C1_EPAct Motor Eff.</vt:lpstr>
      <vt:lpstr>3D_Combustion Equip Master</vt:lpstr>
      <vt:lpstr>3E_Diversity Factor</vt:lpstr>
      <vt:lpstr>4_Utility Data</vt:lpstr>
      <vt:lpstr>5_Estimated vs Actual</vt:lpstr>
      <vt:lpstr>6_Two Key Pies</vt:lpstr>
      <vt:lpstr>7_SEUs</vt:lpstr>
      <vt:lpstr>7A_SEU Actions</vt:lpstr>
      <vt:lpstr>8_Energy IMPV</vt:lpstr>
      <vt:lpstr>9_Action Plan Template</vt:lpstr>
      <vt:lpstr>10_Operational Controls</vt:lpstr>
      <vt:lpstr>99A_Baseline&amp;Achievement</vt:lpstr>
      <vt:lpstr>99B_Bottom Up Graphic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2026-02-11T22:28:37Z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0x010100B2A3D4F87CB4EC40ABCCCC8FF4752AB7</vt:lpwstr>
  </property>
  <property fmtid="{D5CDD505-2E9C-101B-9397-08002B2CF9AE}" pid="3" name="MSIP_Label_ab5ff3ce-c151-426b-9620-64dd2650a755_Enabled">
    <vt:lpwstr>true</vt:lpwstr>
  </property>
  <property fmtid="{D5CDD505-2E9C-101B-9397-08002B2CF9AE}" pid="4" name="MSIP_Label_ab5ff3ce-c151-426b-9620-64dd2650a755_SetDate">
    <vt:lpwstr>2022-07-08T14:28:02Z</vt:lpwstr>
  </property>
  <property fmtid="{D5CDD505-2E9C-101B-9397-08002B2CF9AE}" pid="5" name="MSIP_Label_ab5ff3ce-c151-426b-9620-64dd2650a755_Method">
    <vt:lpwstr>Standard</vt:lpwstr>
  </property>
  <property fmtid="{D5CDD505-2E9C-101B-9397-08002B2CF9AE}" pid="6" name="MSIP_Label_ab5ff3ce-c151-426b-9620-64dd2650a755_Name">
    <vt:lpwstr>Daimler Truck Internal</vt:lpwstr>
  </property>
  <property fmtid="{D5CDD505-2E9C-101B-9397-08002B2CF9AE}" pid="7" name="MSIP_Label_ab5ff3ce-c151-426b-9620-64dd2650a755_SiteId">
    <vt:lpwstr>505cca53-5750-4134-9501-8d52d5df3cd1</vt:lpwstr>
  </property>
  <property fmtid="{D5CDD505-2E9C-101B-9397-08002B2CF9AE}" pid="8" name="MSIP_Label_ab5ff3ce-c151-426b-9620-64dd2650a755_ActionId">
    <vt:lpwstr>2f2c8bf4-8bf7-4e87-9ecd-cae77132c352</vt:lpwstr>
  </property>
  <property fmtid="{D5CDD505-2E9C-101B-9397-08002B2CF9AE}" pid="9" name="MSIP_Label_ab5ff3ce-c151-426b-9620-64dd2650a755_ContentBits">
    <vt:lpwstr>0</vt:lpwstr>
  </property>
  <property fmtid="{D5CDD505-2E9C-101B-9397-08002B2CF9AE}" pid="10" name="MSIP_Label_924dbb1d-991d-4bbd-aad5-33bac1d8ffaf_Enabled">
    <vt:lpwstr>true</vt:lpwstr>
  </property>
  <property fmtid="{D5CDD505-2E9C-101B-9397-08002B2CF9AE}" pid="11" name="MSIP_Label_924dbb1d-991d-4bbd-aad5-33bac1d8ffaf_SetDate">
    <vt:lpwstr>2022-07-14T17:15:49Z</vt:lpwstr>
  </property>
  <property fmtid="{D5CDD505-2E9C-101B-9397-08002B2CF9AE}" pid="12" name="MSIP_Label_924dbb1d-991d-4bbd-aad5-33bac1d8ffaf_Method">
    <vt:lpwstr>Standard</vt:lpwstr>
  </property>
  <property fmtid="{D5CDD505-2E9C-101B-9397-08002B2CF9AE}" pid="13" name="MSIP_Label_924dbb1d-991d-4bbd-aad5-33bac1d8ffaf_Name">
    <vt:lpwstr>924dbb1d-991d-4bbd-aad5-33bac1d8ffaf</vt:lpwstr>
  </property>
  <property fmtid="{D5CDD505-2E9C-101B-9397-08002B2CF9AE}" pid="14" name="MSIP_Label_924dbb1d-991d-4bbd-aad5-33bac1d8ffaf_SiteId">
    <vt:lpwstr>9652d7c2-1ccf-4940-8151-4a92bd474ed0</vt:lpwstr>
  </property>
  <property fmtid="{D5CDD505-2E9C-101B-9397-08002B2CF9AE}" pid="15" name="MSIP_Label_924dbb1d-991d-4bbd-aad5-33bac1d8ffaf_ActionId">
    <vt:lpwstr>281262a8-77e4-41ba-8b64-9ab14690e286</vt:lpwstr>
  </property>
  <property fmtid="{D5CDD505-2E9C-101B-9397-08002B2CF9AE}" pid="16" name="MSIP_Label_924dbb1d-991d-4bbd-aad5-33bac1d8ffaf_ContentBits">
    <vt:lpwstr>1</vt:lpwstr>
  </property>
  <property fmtid="{D5CDD505-2E9C-101B-9397-08002B2CF9AE}" pid="17" name="MediaServiceImageTags">
    <vt:lpwstr/>
  </property>
</Properties>
</file>